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2\"/>
    </mc:Choice>
  </mc:AlternateContent>
  <xr:revisionPtr revIDLastSave="0" documentId="13_ncr:1_{FD6C6C8D-FAFE-4923-A500-E876CAA57962}" xr6:coauthVersionLast="36" xr6:coauthVersionMax="36" xr10:uidLastSave="{00000000-0000-0000-0000-000000000000}"/>
  <bookViews>
    <workbookView xWindow="0" yWindow="0" windowWidth="16365" windowHeight="12195"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D207" i="24" l="1"/>
  <c r="E199" i="24"/>
  <c r="D78" i="24" l="1"/>
  <c r="E201" i="24" l="1"/>
  <c r="E197" i="24"/>
  <c r="E101" i="24" l="1"/>
  <c r="E99" i="24"/>
  <c r="E97" i="24"/>
  <c r="E96" i="24"/>
  <c r="E94" i="24"/>
  <c r="E92" i="24"/>
  <c r="E88" i="24"/>
  <c r="E86" i="24" s="1"/>
  <c r="D87" i="24"/>
  <c r="D86" i="24" s="1"/>
  <c r="E77" i="24"/>
  <c r="F77" i="24"/>
  <c r="E75" i="24"/>
  <c r="E71" i="24"/>
  <c r="E68" i="24" s="1"/>
  <c r="D71" i="24"/>
  <c r="E61" i="24"/>
  <c r="E56" i="24"/>
  <c r="E53" i="24"/>
  <c r="E52" i="24"/>
  <c r="E50" i="24" s="1"/>
  <c r="E46" i="24"/>
  <c r="E45" i="24"/>
  <c r="F45" i="24" s="1"/>
  <c r="E103" i="24" l="1"/>
  <c r="E243" i="24"/>
  <c r="F243" i="24" s="1"/>
  <c r="F234" i="24"/>
  <c r="D223" i="24"/>
  <c r="E223" i="24" s="1"/>
  <c r="F223" i="24" s="1"/>
  <c r="D221" i="24"/>
  <c r="E219" i="24"/>
  <c r="F219" i="24" s="1"/>
  <c r="E217" i="24"/>
  <c r="E215" i="24"/>
  <c r="F215" i="24" s="1"/>
  <c r="E205" i="24"/>
  <c r="F205" i="24" s="1"/>
  <c r="E203" i="24"/>
  <c r="D203" i="24"/>
  <c r="F201" i="24"/>
  <c r="F199" i="24"/>
  <c r="F197" i="24"/>
  <c r="E186" i="24"/>
  <c r="F186" i="24" s="1"/>
  <c r="E178" i="24"/>
  <c r="F178" i="24" s="1"/>
  <c r="E176" i="24"/>
  <c r="E174" i="24"/>
  <c r="F174" i="24" s="1"/>
  <c r="E173" i="24"/>
  <c r="F173" i="24" s="1"/>
  <c r="E172" i="24"/>
  <c r="F172" i="24" s="1"/>
  <c r="E171" i="24"/>
  <c r="F171" i="24" s="1"/>
  <c r="E170" i="24"/>
  <c r="F170" i="24" s="1"/>
  <c r="E169" i="24"/>
  <c r="F169" i="24" s="1"/>
  <c r="E168" i="24"/>
  <c r="F168" i="24" s="1"/>
  <c r="D167" i="24"/>
  <c r="D182" i="24" s="1"/>
  <c r="E165" i="24"/>
  <c r="F165" i="24" s="1"/>
  <c r="D165" i="24"/>
  <c r="D164" i="24"/>
  <c r="E164" i="24" s="1"/>
  <c r="E154" i="24"/>
  <c r="F154" i="24" s="1"/>
  <c r="E152" i="24"/>
  <c r="F152" i="24" s="1"/>
  <c r="E151" i="24"/>
  <c r="F151" i="24" s="1"/>
  <c r="D150" i="24"/>
  <c r="E150" i="24" s="1"/>
  <c r="F149" i="24"/>
  <c r="F148" i="24"/>
  <c r="E148" i="24"/>
  <c r="D148" i="24"/>
  <c r="E147" i="24"/>
  <c r="D147" i="24"/>
  <c r="F146" i="24"/>
  <c r="E143" i="24"/>
  <c r="F143" i="24" s="1"/>
  <c r="F142" i="24"/>
  <c r="E142" i="24"/>
  <c r="E141" i="24"/>
  <c r="D140" i="24"/>
  <c r="E138" i="24"/>
  <c r="F138" i="24" s="1"/>
  <c r="F136" i="24"/>
  <c r="E133" i="24"/>
  <c r="F133" i="24" s="1"/>
  <c r="F131" i="24"/>
  <c r="F130" i="24"/>
  <c r="E129" i="24"/>
  <c r="F129" i="24" s="1"/>
  <c r="F128" i="24"/>
  <c r="D127" i="24"/>
  <c r="F125" i="24"/>
  <c r="F124" i="24"/>
  <c r="E123" i="24"/>
  <c r="F123" i="24" s="1"/>
  <c r="E122" i="24"/>
  <c r="F122" i="24" s="1"/>
  <c r="F121" i="24"/>
  <c r="D120" i="24"/>
  <c r="D134" i="24" s="1"/>
  <c r="F109" i="24"/>
  <c r="F101" i="24"/>
  <c r="F97" i="24"/>
  <c r="F96" i="24"/>
  <c r="F95" i="24"/>
  <c r="F94" i="24"/>
  <c r="E93" i="24"/>
  <c r="F93" i="24" s="1"/>
  <c r="F92" i="24"/>
  <c r="F91" i="24"/>
  <c r="D90" i="24"/>
  <c r="D105" i="24" s="1"/>
  <c r="F88" i="24"/>
  <c r="F75" i="24"/>
  <c r="F74" i="24"/>
  <c r="F72" i="24"/>
  <c r="F71" i="24"/>
  <c r="F70" i="24"/>
  <c r="F69" i="24"/>
  <c r="E66" i="24"/>
  <c r="F66" i="24" s="1"/>
  <c r="F65" i="24"/>
  <c r="E64" i="24"/>
  <c r="E63" i="24" s="1"/>
  <c r="E78" i="24" s="1"/>
  <c r="F61" i="24"/>
  <c r="F59" i="24"/>
  <c r="F56" i="24"/>
  <c r="F54" i="24"/>
  <c r="F53" i="24"/>
  <c r="F52" i="24"/>
  <c r="F51" i="24"/>
  <c r="F48" i="24"/>
  <c r="F47" i="24"/>
  <c r="F46" i="24"/>
  <c r="F44" i="24"/>
  <c r="D43" i="24"/>
  <c r="D57" i="24" s="1"/>
  <c r="E207" i="24" l="1"/>
  <c r="E167" i="24"/>
  <c r="F167" i="24" s="1"/>
  <c r="E90" i="24"/>
  <c r="F147" i="24"/>
  <c r="E221" i="24"/>
  <c r="E225" i="24" s="1"/>
  <c r="F225" i="24" s="1"/>
  <c r="D145" i="24"/>
  <c r="D155" i="24" s="1"/>
  <c r="E140" i="24"/>
  <c r="F140" i="24" s="1"/>
  <c r="D225" i="24"/>
  <c r="F63" i="24"/>
  <c r="F217" i="24"/>
  <c r="F207" i="24"/>
  <c r="F203" i="24"/>
  <c r="F150" i="24"/>
  <c r="E145" i="24"/>
  <c r="F145" i="24" s="1"/>
  <c r="F164" i="24"/>
  <c r="E163" i="24"/>
  <c r="F163" i="24" s="1"/>
  <c r="E180" i="24"/>
  <c r="E182" i="24"/>
  <c r="F182" i="24" s="1"/>
  <c r="E120" i="24"/>
  <c r="F176" i="24"/>
  <c r="F141" i="24"/>
  <c r="D163" i="24"/>
  <c r="D180" i="24" s="1"/>
  <c r="D184" i="24" s="1"/>
  <c r="D188" i="24" s="1"/>
  <c r="E127" i="24"/>
  <c r="F127" i="24" s="1"/>
  <c r="F73" i="24"/>
  <c r="F68" i="24"/>
  <c r="F87" i="24"/>
  <c r="E43" i="24"/>
  <c r="F99" i="24"/>
  <c r="F64" i="24"/>
  <c r="D103" i="24"/>
  <c r="D107" i="24" s="1"/>
  <c r="D111" i="24" s="1"/>
  <c r="F50" i="24"/>
  <c r="E155" i="24" l="1"/>
  <c r="F155" i="24" s="1"/>
  <c r="F221" i="24"/>
  <c r="F90" i="24"/>
  <c r="E105" i="24"/>
  <c r="F105" i="24" s="1"/>
  <c r="F86" i="24"/>
  <c r="F78" i="24"/>
  <c r="E184" i="24"/>
  <c r="F180" i="24"/>
  <c r="F120" i="24"/>
  <c r="E134" i="24"/>
  <c r="F134" i="24" s="1"/>
  <c r="F43" i="24"/>
  <c r="E57" i="24"/>
  <c r="F57" i="24" s="1"/>
  <c r="F103" i="24"/>
  <c r="E107" i="24" l="1"/>
  <c r="E188" i="24"/>
  <c r="F188" i="24" s="1"/>
  <c r="F184" i="24"/>
  <c r="E111" i="24"/>
  <c r="F111" i="24" s="1"/>
  <c r="F107" i="24"/>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1" i="22" l="1"/>
  <c r="Y62" i="22" s="1"/>
  <c r="Y63" i="22"/>
  <c r="W39" i="22"/>
  <c r="W59" i="22" s="1"/>
  <c r="I107" i="19"/>
  <c r="W61" i="22"/>
  <c r="W62" i="22" s="1"/>
  <c r="H107" i="19"/>
  <c r="W63" i="22"/>
  <c r="W34" i="22"/>
  <c r="Y34" i="22"/>
  <c r="W32" i="22"/>
  <c r="W33" i="22" s="1"/>
  <c r="W10" i="22"/>
  <c r="W30"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H61" i="19" s="1"/>
  <c r="I59" i="19"/>
  <c r="H9" i="18"/>
  <c r="I75" i="18"/>
  <c r="I133" i="18" s="1"/>
  <c r="I13" i="19"/>
  <c r="I60" i="19" s="1"/>
  <c r="H55" i="20"/>
  <c r="H36" i="21"/>
  <c r="H49" i="21"/>
  <c r="I9" i="18"/>
  <c r="H44" i="18"/>
  <c r="I24" i="20"/>
  <c r="I27" i="20" s="1"/>
  <c r="I42" i="20"/>
  <c r="I55" i="20"/>
  <c r="I36" i="21"/>
  <c r="I49" i="21"/>
  <c r="H24" i="20"/>
  <c r="H27" i="20" s="1"/>
  <c r="H42" i="20"/>
  <c r="H63" i="19" l="1"/>
  <c r="I57" i="20"/>
  <c r="I59" i="20" s="1"/>
  <c r="I61" i="19"/>
  <c r="I66" i="19" s="1"/>
  <c r="I72" i="18"/>
  <c r="I63" i="19"/>
  <c r="I62" i="19"/>
  <c r="H62" i="19"/>
  <c r="I51" i="21"/>
  <c r="I53" i="21" s="1"/>
  <c r="H51" i="21"/>
  <c r="H53" i="21" s="1"/>
  <c r="H57" i="20"/>
  <c r="H59" i="20" s="1"/>
  <c r="H72" i="18"/>
  <c r="H67" i="19"/>
  <c r="H65" i="19"/>
  <c r="H88" i="19" s="1"/>
  <c r="H108" i="19" s="1"/>
  <c r="H66" i="19"/>
  <c r="H89" i="19"/>
  <c r="I89" i="19"/>
  <c r="I65" i="19" l="1"/>
  <c r="I88" i="19" s="1"/>
  <c r="I108" i="19" s="1"/>
  <c r="I67" i="19"/>
</calcChain>
</file>

<file path=xl/sharedStrings.xml><?xml version="1.0" encoding="utf-8"?>
<sst xmlns="http://schemas.openxmlformats.org/spreadsheetml/2006/main" count="969" uniqueCount="759">
  <si>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</si>
  <si>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</si>
  <si>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</si>
  <si>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</si>
  <si>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</si>
  <si>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</si>
  <si>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</si>
  <si>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</si>
  <si>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</si>
  <si>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</si>
  <si>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</si>
  <si>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</si>
  <si>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</si>
  <si>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</si>
  <si>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</si>
  <si>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</si>
  <si>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</si>
  <si>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</si>
  <si>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</si>
  <si>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</si>
  <si>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</si>
  <si>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</si>
  <si>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</si>
  <si>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</si>
  <si>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</si>
  <si>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</si>
  <si>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</si>
  <si>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</si>
  <si>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</si>
  <si>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</si>
  <si>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</si>
  <si>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</si>
  <si>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</si>
  <si>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</si>
  <si>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</si>
  <si>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</si>
  <si>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</si>
  <si>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</si>
  <si>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</si>
  <si>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</si>
  <si>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</si>
  <si>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</si>
  <si>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</si>
  <si>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</si>
  <si>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</si>
  <si>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</si>
  <si>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</si>
  <si>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</si>
  <si>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</si>
  <si>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</si>
  <si>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</si>
  <si>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</si>
  <si>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</si>
  <si>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</si>
  <si>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</si>
  <si>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</si>
  <si>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</si>
  <si>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</si>
  <si>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</si>
  <si>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</si>
  <si>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</si>
  <si>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</si>
  <si>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</si>
  <si>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</si>
  <si>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</si>
  <si>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</si>
  <si>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</si>
  <si>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</si>
  <si>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</si>
  <si>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</si>
  <si>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</si>
  <si>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</si>
  <si>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</si>
  <si>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</si>
  <si>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</si>
  <si>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</si>
  <si>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</si>
  <si>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</si>
  <si>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</si>
  <si>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</si>
  <si>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</si>
  <si>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</si>
  <si>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</si>
  <si>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</si>
  <si>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</si>
  <si>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</si>
  <si>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</si>
  <si>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</si>
  <si>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</si>
  <si>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</si>
  <si>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</si>
  <si>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</si>
  <si>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</si>
  <si>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</si>
  <si>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</si>
  <si>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</si>
  <si>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</si>
  <si>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</si>
  <si>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</si>
  <si>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</si>
  <si>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</si>
  <si>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</si>
  <si>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</si>
  <si>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</si>
  <si>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</si>
  <si>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</si>
  <si>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</si>
  <si>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</si>
  <si>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</si>
  <si>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</si>
  <si>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</si>
  <si>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</si>
  <si>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</si>
  <si>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</si>
  <si>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</si>
  <si>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</si>
  <si>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</si>
  <si>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</si>
  <si>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</si>
  <si>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</si>
  <si>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</si>
  <si>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</si>
  <si>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</si>
  <si>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</si>
  <si>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</si>
  <si>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</si>
  <si>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</si>
  <si>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</si>
  <si>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</si>
  <si>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</si>
  <si>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</si>
  <si>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</si>
  <si>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</si>
  <si>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</si>
  <si>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</si>
  <si>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</si>
  <si>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</si>
  <si>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</si>
  <si>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</si>
  <si>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</si>
  <si>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</si>
  <si>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</si>
  <si>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</si>
  <si>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</si>
  <si>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</si>
  <si>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</si>
  <si>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</si>
  <si>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</si>
  <si>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</si>
  <si>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</si>
  <si>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</si>
  <si>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</si>
  <si>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</si>
  <si>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</si>
  <si>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</si>
  <si>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</si>
  <si>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</si>
  <si>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</si>
  <si>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</si>
  <si>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</si>
  <si>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</si>
  <si>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</si>
  <si>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</si>
  <si>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</si>
  <si>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</si>
  <si>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</si>
  <si>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</si>
  <si>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</si>
  <si>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</si>
  <si>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</si>
  <si>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</si>
  <si>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</si>
  <si>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</si>
  <si>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</si>
  <si>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</si>
  <si>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</si>
  <si>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</si>
  <si>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</si>
  <si>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</si>
  <si>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</si>
  <si>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</si>
  <si>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</si>
  <si>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</si>
  <si>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</si>
  <si>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</si>
  <si>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</si>
  <si>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</si>
  <si>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</si>
  <si>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</si>
  <si>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</si>
  <si>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</si>
  <si>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</si>
  <si>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</si>
  <si>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</si>
  <si>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</si>
  <si>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</si>
  <si>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</si>
  <si>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</si>
  <si>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</si>
  <si>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</si>
  <si>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</si>
  <si>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</si>
  <si>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</si>
  <si>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</si>
  <si>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</si>
  <si>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</si>
  <si>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</si>
  <si>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</si>
  <si>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</si>
  <si>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</si>
  <si>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</si>
  <si>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</si>
  <si>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</si>
  <si>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</si>
  <si>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</si>
  <si>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</si>
  <si>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</si>
  <si>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</si>
  <si>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</si>
  <si>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</si>
  <si>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</si>
  <si>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</si>
  <si>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</si>
  <si>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</si>
  <si>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</si>
  <si>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</si>
  <si>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</si>
  <si>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</si>
  <si>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</si>
  <si>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</si>
  <si>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</si>
  <si>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</si>
  <si>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</si>
  <si>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</si>
  <si>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</si>
  <si>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</si>
  <si>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</si>
  <si>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</si>
  <si>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</si>
  <si>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</si>
  <si>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</si>
  <si>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</si>
  <si>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</si>
  <si>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</si>
  <si>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</si>
  <si>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</si>
  <si>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</si>
  <si>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</si>
  <si>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</si>
  <si>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</si>
  <si>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</si>
  <si>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</si>
  <si>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</si>
  <si>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</si>
  <si>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</si>
  <si>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</si>
  <si>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</si>
  <si>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</si>
  <si>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</si>
  <si>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</si>
  <si>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</si>
  <si>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</si>
  <si>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</si>
  <si>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</si>
  <si>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</si>
  <si>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</si>
  <si>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</si>
  <si>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</si>
  <si>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</si>
  <si>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</si>
  <si>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</si>
  <si>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</si>
  <si>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</si>
  <si>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</si>
  <si>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</si>
  <si>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</si>
  <si>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</si>
  <si>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</si>
  <si>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</si>
  <si>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</si>
  <si>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</si>
  <si>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</si>
  <si>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</si>
  <si>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</si>
  <si>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</si>
  <si>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</si>
  <si>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</si>
  <si>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</si>
  <si>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</si>
  <si>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</si>
  <si>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</si>
  <si>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</si>
  <si>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</si>
  <si>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</si>
  <si>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</si>
  <si>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</si>
  <si>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</si>
  <si>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</si>
  <si>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</si>
  <si>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</si>
  <si>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</si>
  <si>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</si>
  <si>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</si>
  <si>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</si>
  <si>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</si>
  <si>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</si>
  <si>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</si>
  <si>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</si>
  <si>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</si>
  <si>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</si>
  <si>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</si>
  <si>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</si>
  <si>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</si>
  <si>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</si>
  <si>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</si>
  <si>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</si>
  <si>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</si>
  <si>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</si>
  <si>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</si>
  <si>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</si>
  <si>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</si>
  <si>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</si>
  <si>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</si>
  <si>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</si>
  <si>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</si>
  <si>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</si>
  <si>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</si>
  <si>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</si>
  <si>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</si>
  <si>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</si>
  <si>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</si>
  <si>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</si>
  <si>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</si>
  <si>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</si>
  <si>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</si>
  <si>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</si>
  <si>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</si>
  <si>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</si>
  <si>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</si>
  <si>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</si>
  <si>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</si>
  <si>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</si>
  <si>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</si>
  <si>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</si>
  <si>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</si>
  <si>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</si>
  <si>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</si>
  <si>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</si>
  <si>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</si>
  <si>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</si>
  <si>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</si>
  <si>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</si>
  <si>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</si>
  <si>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</si>
  <si>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</si>
  <si>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</si>
  <si>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</si>
  <si>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</si>
  <si>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</si>
  <si>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</si>
  <si>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</si>
  <si>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</si>
  <si>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</si>
  <si>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</si>
  <si>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</si>
  <si>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</si>
  <si>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</si>
  <si>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</si>
  <si>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</si>
  <si>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</si>
  <si>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</si>
  <si>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</si>
  <si>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</si>
  <si>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</si>
  <si>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</si>
  <si>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</si>
  <si>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</si>
  <si>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</si>
  <si>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</si>
  <si>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</si>
  <si>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</si>
  <si>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</si>
  <si>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</si>
  <si>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</si>
  <si>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</si>
  <si>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</si>
  <si>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</si>
  <si>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</si>
  <si>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</si>
  <si>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</si>
  <si>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</si>
  <si>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</si>
  <si>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</si>
  <si>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</si>
  <si>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</si>
  <si>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</si>
  <si>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</si>
  <si>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</si>
  <si>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</si>
  <si>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</si>
  <si>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</si>
  <si>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</si>
  <si>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</si>
  <si>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</si>
  <si>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</si>
  <si>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</si>
  <si>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</si>
  <si>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</si>
  <si>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</si>
  <si>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</si>
  <si>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</si>
  <si>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</si>
  <si>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</si>
  <si>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</si>
  <si>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</si>
  <si>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</si>
  <si>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</si>
  <si>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</si>
  <si>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</si>
  <si>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</si>
  <si>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</si>
  <si>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</si>
  <si>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</si>
  <si>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</si>
  <si>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</si>
  <si>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</si>
  <si>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</si>
  <si>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</si>
  <si>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</si>
  <si>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</si>
  <si>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</si>
  <si>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</si>
  <si>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</si>
  <si>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</si>
  <si>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</si>
  <si>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</si>
  <si>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</si>
  <si>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</si>
  <si>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</si>
  <si>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</si>
  <si>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</si>
  <si>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</si>
  <si>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</si>
  <si>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</si>
  <si>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</si>
  <si>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</si>
  <si>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</si>
  <si>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</si>
  <si>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</si>
  <si>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</si>
  <si>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</si>
  <si>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</si>
  <si>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</si>
  <si>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</si>
  <si>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</si>
  <si>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</si>
  <si>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</si>
  <si>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</si>
  <si>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</si>
  <si>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</si>
  <si>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</si>
  <si>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</si>
  <si>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</si>
  <si>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</si>
  <si>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</si>
  <si>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</si>
  <si>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</si>
  <si>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</si>
  <si>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</si>
  <si>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</si>
  <si>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</si>
  <si>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</si>
  <si>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</si>
  <si>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</si>
  <si>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</si>
  <si>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</si>
  <si>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</si>
  <si>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</si>
  <si>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</si>
  <si>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</si>
  <si>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</si>
  <si>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</si>
  <si>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</si>
  <si>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</si>
  <si>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</si>
  <si>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</si>
  <si>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</si>
  <si>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</si>
  <si>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</si>
  <si>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</si>
  <si>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</si>
  <si>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</si>
  <si>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</si>
  <si>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</si>
  <si>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</si>
  <si>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</si>
  <si>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</si>
  <si>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</si>
  <si>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3474771</t>
  </si>
  <si>
    <t>HR</t>
  </si>
  <si>
    <t>40020883</t>
  </si>
  <si>
    <t>36201212847</t>
  </si>
  <si>
    <t>30577</t>
  </si>
  <si>
    <t>529900DUWS1DGNEK4C68</t>
  </si>
  <si>
    <t>Valamar Riviera d.d.</t>
  </si>
  <si>
    <t>Poreč</t>
  </si>
  <si>
    <t>Stancija Kaligari 1</t>
  </si>
  <si>
    <t>uprava@riviera.hr</t>
  </si>
  <si>
    <t>www.valamar-riviera.com</t>
  </si>
  <si>
    <t>KN</t>
  </si>
  <si>
    <t>RD</t>
  </si>
  <si>
    <t>No</t>
  </si>
  <si>
    <t>Sopta Anka</t>
  </si>
  <si>
    <t>052 408 188</t>
  </si>
  <si>
    <t>anka.sopta@riviera.hr</t>
  </si>
  <si>
    <t>Ernst &amp; Young d.o.o., UHY Rudan d.o.o.</t>
  </si>
  <si>
    <t>Berislav Horvat, Vedrana Miletić</t>
  </si>
  <si>
    <t>balance as at 31.12.2022.</t>
  </si>
  <si>
    <t>for the period 01.01.2022. to 31.12.2022.</t>
  </si>
  <si>
    <t>Submitter: Valamar Riviera d.d.</t>
  </si>
  <si>
    <t>Summary of adjustments of GFI-POD balance sheet and unconsolidated balance sheet from Audited report for 2021</t>
  </si>
  <si>
    <t>COMPANY</t>
  </si>
  <si>
    <t>GFI-POD BALANCE SHEET
as at 31 December 2021
(in thousands of HRK)</t>
  </si>
  <si>
    <t>GFI-POD
ADP code</t>
  </si>
  <si>
    <t>AUDITED REPORT
Note</t>
  </si>
  <si>
    <t>Reclassified
GFI-POD</t>
  </si>
  <si>
    <t xml:space="preserve">Difference </t>
  </si>
  <si>
    <t>Explanation</t>
  </si>
  <si>
    <t>NON-CURRENT ASSETS (ADP 003+010+020+031+036)</t>
  </si>
  <si>
    <t>002</t>
  </si>
  <si>
    <t>14+15+16+17+part of 18+20+part of 21+part of 23+25+part of 30</t>
  </si>
  <si>
    <t xml:space="preserve">  I. Intangible assets</t>
  </si>
  <si>
    <t>003</t>
  </si>
  <si>
    <t xml:space="preserve">  II. Tangible assets</t>
  </si>
  <si>
    <t>010</t>
  </si>
  <si>
    <t>14+15+part of 30</t>
  </si>
  <si>
    <t>GFI-POD item "Tangible assets" (ADP 010; HRK  3,936,985 thous.) is in Audited report presented under items "Property, plant and equipment" (Note 14 in comparable amount of HRK 3,916,939 thous.), "Investment property" (Note 15 in comparable amount of HRK 3,180 thous.), and "Right-of-use assets" (Note 30 in comparable amount of HRK 16,866 thous).</t>
  </si>
  <si>
    <t xml:space="preserve">  III. Non-current financial assets</t>
  </si>
  <si>
    <t>020</t>
  </si>
  <si>
    <t>17+part of 18+20+part of 21</t>
  </si>
  <si>
    <t>GFI-POD item "Financial assets" (ADP 020; HRK 1,017,453 thous.) is in Audited report presented under items "Investment in subsidiaries" (Note 17 in comparable amount of  941,804 thous.), "Investment in associated entity" (Note 18 in comparable amount of  HRK 70,112 thous. (presented in balance sheet as a separate line)), Financial assets" (Note 20 in comparable amount of HRK 359 thous.) and in the non-current part of item "Loans and deposits" (Note 21 in comparable amount of HRK 5,178 thous.).</t>
  </si>
  <si>
    <t xml:space="preserve">  IV. Trade receivables</t>
  </si>
  <si>
    <t>031</t>
  </si>
  <si>
    <t>Part of 23</t>
  </si>
  <si>
    <t xml:space="preserve">  V. Deferred tax assets</t>
  </si>
  <si>
    <t>036</t>
  </si>
  <si>
    <t>25</t>
  </si>
  <si>
    <t>CURRENT ASSETS (ADP 038+046+053+063)</t>
  </si>
  <si>
    <t>037</t>
  </si>
  <si>
    <t>Part of 21+22+part of 23+26</t>
  </si>
  <si>
    <t>Due to a different presentation, but for the purpose of comparability of GFI-POD and Audited report it is necessary to jointly view GFI-POD items "Current assets" (ADP 037; HRK 656,422 thous.) and "Prepayments and accrued income" (ADP 064; HRK 21,273 thous.) in relation to item "Current assets" of Audited report (HRK 677,695 thous.).</t>
  </si>
  <si>
    <t xml:space="preserve">  I. Inventories</t>
  </si>
  <si>
    <t>038</t>
  </si>
  <si>
    <t>22</t>
  </si>
  <si>
    <t xml:space="preserve">  II. Receivables</t>
  </si>
  <si>
    <t>046</t>
  </si>
  <si>
    <t>GFI-POD item "Receivables" (ADP 046; HRK 50,219 thous.) is in Audited report presented under items "Trade and other receivables" (Note 23; "Trade receivables – net" HRK 43,673 thous., "VAT receivable" HRK 2,235 thous., "Advances to suppliers" HRK 457 thous., "Receivables from employees" HRK 626 thous., "Receivables from state institutions" HRK 834 thous., part of "Other current liabilities" HRK 2,392 thous. and "Income tax receivable" HRK 2 thous.).
Comment: The total amount of item "Trade and other receivables" in Audited report  (Note 23) is HRK 71,490 thous. and is presented in items "Receivables" (ADP 046; HRK 50,217 thous.) and "Prepayments and accrued income" (ADP 064; HRK 21,273 thous.).</t>
  </si>
  <si>
    <t xml:space="preserve">  III. Current financial assets</t>
  </si>
  <si>
    <t>053</t>
  </si>
  <si>
    <t>Part of 21</t>
  </si>
  <si>
    <t>GFI-POD item "Financial assets" (ADP 053; HRK 444 thous.) is in Audited report presented under item "Loans and deposits" - current part (Note 21 in comparable amount of HRK 444 thous.).</t>
  </si>
  <si>
    <t xml:space="preserve">  IV. Cash and cash equivalents</t>
  </si>
  <si>
    <t>063</t>
  </si>
  <si>
    <t>26</t>
  </si>
  <si>
    <t>GFI-POD item "Cash and cash equivalents" (ADP 063; HRK 582,141 thous.) is in Audited report presented under item "Cash and cash equivalents" (Note 26 in comparable amount of HRK 582,141 thous.).</t>
  </si>
  <si>
    <t>PREPAYMENTS AND ACCRUED INCOME</t>
  </si>
  <si>
    <t>064</t>
  </si>
  <si>
    <t>GFI-POD item "Prepayments and accrued income" (ADP 064; HRK 21,273 thous.) is in Audited report presented under items "Trade and other receivables" (Note 23; "Accrued income" HRK 2,398 thous., "Interest receivables" HRK 27 thous., "Prepaid expenses" HRK 18,818 thous. and part of "Other current liabilities" HRK 30 thous.).
Comment: The total amount of item "Trade and other receivables" in Audited report  (Note 23) is HRK 71,490 thous. and is presented in items "Receivables" (ADP 046; HRK 50,217 thous.) and "Prepayments and accrued income" (ADP 064; HRK 21,273 thous.).</t>
  </si>
  <si>
    <t>TOTAL ASSETS</t>
  </si>
  <si>
    <t>065</t>
  </si>
  <si>
    <t>CAPITAL AND RESERVES</t>
  </si>
  <si>
    <t>067</t>
  </si>
  <si>
    <t>27+28</t>
  </si>
  <si>
    <t>GFI-POD item "Capital and reserves" (ADP 067; HRK 2,619,280 thous.) is in Audited report presented under item "Share capital" (Notes 27 and 28 in comparable amount of HRK 2,619,280 thous.).</t>
  </si>
  <si>
    <t>PROVISIONS</t>
  </si>
  <si>
    <t>090</t>
  </si>
  <si>
    <t>Part of 32+part of 31</t>
  </si>
  <si>
    <t>GFI-POD item "Provisions" (ADP 090; HRK 134,552 thous.) is in Audited report presented under non-current liabilities in item "Provisions" (Note 32 part of the item "Severance pay and jubilee awards" in the amount HRK 24,964 thous. with the item “Legal Disputes” in a comparable amount HRK 28,843 thous. and "Other" HRK 24,828 thous.) and non-current liabilities under item "Concession fee" (Note 31 in comparable amount of HRK 55,917 thous).</t>
  </si>
  <si>
    <t>NON-CURRENT LIABILITIES (ADP 103+107+108)</t>
  </si>
  <si>
    <t>097</t>
  </si>
  <si>
    <t>Part of 24+25+part of 29+part of 30+part of 31+part of 32</t>
  </si>
  <si>
    <t>Due to a different presentation, but for the purpose of comparability of GFI-POD and Audited report it is necessary to jointly view GFI-POD items "Non-current liabilities" (ADP 097; HRK 2,331,904 thous.) and "Provisions" (ADP 090; HRK 134,552 thous.) in relation to item "Non-current liabilities" of Audited report (HRK 2,466,456 thous.).</t>
  </si>
  <si>
    <t xml:space="preserve">  I. Liabilities to banks and other financial institutions</t>
  </si>
  <si>
    <t>103</t>
  </si>
  <si>
    <t>Part of 29</t>
  </si>
  <si>
    <t>GFI-POD item "Liabilities to banks and other financial institutions" (ADP 103; HRK 2,303,873 thous.) is in Audited report presented under non-current part of item "Borrowings" (Note 29 in comparable amount of HRK 2,303,873 thous.).</t>
  </si>
  <si>
    <t xml:space="preserve">  II. Other non-current liabilities</t>
  </si>
  <si>
    <t>107</t>
  </si>
  <si>
    <t>Part of 24+part of 30+part of 32</t>
  </si>
  <si>
    <r>
      <t xml:space="preserve">GFI-POD item "Other non-current liabilities" (ADP 107; HRK 15,575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4,362 thous.), "Lease liabilities" (Note 30 in comparable amount of HRK 11,212 thous.) and part of long-term liabilities in the item "Provisions" (Note 32 "Severance pay and jubilee awards" HRK 1 thous.).
Comment: The total amount of item "Derivative financial instruments" in Audited report (Note 24) is 7,749 thous. and is presented in items "Other non-current liabilities" (ADP 107; HRK 4,362 thous.) and "Other current liabilities" (ADP 123; HRK 3,387 thous.).</t>
    </r>
  </si>
  <si>
    <t xml:space="preserve">  III. Deferred tax liabilities</t>
  </si>
  <si>
    <t>108</t>
  </si>
  <si>
    <t>CURRENT LIABILITIES (ADP 110+112+115+116+117+118+119+121+123)</t>
  </si>
  <si>
    <t>109</t>
  </si>
  <si>
    <t>Part of 24+part of 29+part of 30+part of 31</t>
  </si>
  <si>
    <t>Due to a different presentation, but for the purpose of comparability of GFI-POD and Audited report it is necessary to jointly view GFI-POD items "Current liabilities" (ADP 109; HRK 665,431 thous.) and "Accrued expenses and deferred income" (ADP 124; HRK 78,830 thous.) in relation to item "Current liabilities" of Audited report (HRK 744,261 thous.).</t>
  </si>
  <si>
    <t>115</t>
  </si>
  <si>
    <r>
      <t>GFI-POD item "Liabilities to banks and other financial institutions" (ADP 115</t>
    </r>
    <r>
      <rPr>
        <sz val="9"/>
        <rFont val="Arial"/>
        <family val="2"/>
        <charset val="238"/>
      </rPr>
      <t>; HRK 523,631 thous.) is in Audited report presented under current part of item "Borrowings" (Note 29; "Bank borrowings" in comparable amount of HRK 523,631 thous.).</t>
    </r>
  </si>
  <si>
    <t xml:space="preserve">  II. Amounts payable for prepayment</t>
  </si>
  <si>
    <t>116</t>
  </si>
  <si>
    <t>Part of 31</t>
  </si>
  <si>
    <t>GFI-POD item "Amounts payable for prepayment" (ADP 116; HRK 36,065 thous.) is in Audited report presented under current part of item "Trade and other payables" (Note 31; "Advances received" in comparable amount of HRK 36,065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</si>
  <si>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 xml:space="preserve">  III. Liabilities towards undertakings within the group, Liabilities towards companies linked by virtue of participating interest, Liabilities towards suppliers</t>
  </si>
  <si>
    <t xml:space="preserve">110,112 i  117 </t>
  </si>
  <si>
    <t>GFI-POD items "Liabilities to undertakings in a Group" (ADP 110; HRK 102 thous.), "Liabilities towards companies linked by virtue of participating interest" (ADP 112; HRK 7 thous.) and "Trade payables" (ADP 117; HRK 51,117 thous.) is in Audited report presented under current part of item "Trade and other payables" (Note 31; "Trade payables" HRK 51,095 thous., "Trade payables – related parties" HRK 131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</si>
  <si>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 xml:space="preserve">  IV. Liabilities upon loan stocks</t>
  </si>
  <si>
    <t>118</t>
  </si>
  <si>
    <t xml:space="preserve">  V. Liabilities to employees</t>
  </si>
  <si>
    <t>119</t>
  </si>
  <si>
    <t>GFI-POD items "Liabilities to employees" (ADP 119; HRK 24,805 thous.) is in Audited report presented under current part of item  "Trade and other payables" (Note 31; "Liabilities to employees" in comparable amount HRK 24,805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</si>
  <si>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 xml:space="preserve">  VI. Taxes, contributions and similar liabilities</t>
  </si>
  <si>
    <t>120</t>
  </si>
  <si>
    <t>GFI-POD item "Taxes, contributions and similar liabilities" (ADP 120; HRK 14,662 thous.) is in Audited report presented under current part of item "Trade and other payables" (Note 31; "Liabilities for taxes and contributions and similar charges" in comparable amount of HRK 14,662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t>
  </si>
  <si>
    <t xml:space="preserve">  VII. Other current liabilities</t>
  </si>
  <si>
    <t>123</t>
  </si>
  <si>
    <t>Part of 24+part of 30+part of 31</t>
  </si>
  <si>
    <t>GFI-POD item "Other current liabilities" (ADP 123; HRK 15,041 thous.) is in Audited report presented under current part of items "Trade and other payables" (Note 31; "Other liabilities" HRK 8,685 thous.), "Derivative financial instruments" (Note 24 in comparable amount of HRK 3,387 thous.) and "Lease liabilities" (Note 30 in comparable amount of HRK 2,969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                                                                                                                   The total amount of item "Derivative financial instruments" in Audited report (Note 24) is 7,749 thous. and is presented in items "Other non-current liabilities" (ADP 107; HRK 4,362 thous.) and "Other current liabilities" (ADP 123; HRK 3,387 thous.).</t>
  </si>
  <si>
    <t>ACCRUED EXPENSES AND DEFERRED INCOME</t>
  </si>
  <si>
    <t>124</t>
  </si>
  <si>
    <t>Part of 31+part of 32</t>
  </si>
  <si>
    <r>
      <t>GFI-POD item "Accrued expenses and deferred income" (ADP 124; HRK 78,830 thous.) is in Audited report presented under items "Trade and other payables" (Note 31; "Interest payable" HRK 29,002 thous., current part of item "Concession fees payable"</t>
    </r>
    <r>
      <rPr>
        <b/>
        <sz val="9"/>
        <color rgb="FF00B0F0"/>
        <rFont val="Arial"/>
        <family val="2"/>
        <charset val="238"/>
      </rPr>
      <t xml:space="preserve"> </t>
    </r>
    <r>
      <rPr>
        <b/>
        <sz val="9"/>
        <color rgb="FF333399"/>
        <rFont val="Arial"/>
        <family val="2"/>
        <charset val="238"/>
      </rPr>
      <t xml:space="preserve">HRK 1,920 thous., "Liabilities for calculated vacation and redistribution hours" HRK 9,379 thous., "Accrued VAT liabilities in unrealized income" HRK 295 thous., "Liabilities for calculated costs" HRK 19,853 thous.) and current part of items "Provisions" (Note 32; current item "Termination benefits and jubilee awards" HRK 818 thous. and "Bonuses" HRK 17,563 thous.).
Comment: The total current amount of item "Trade and other payables" in Audited report (Note 31) is HRK 195,893 thous. and is presented in items "Amounts payable for prepayment" (ADP 116; HRK 36,065 thous.), "Liabilities towards undertakings within the group, Liabilities towards companies linked by virtue of participating interest, Liabilities towards suppliers" (ADP 110, 112 and 117; HRK 51,226 thous.), "Liabilities to employees" (ADP 119; HRK 24,805 thous.), "Taxes, contributions and similar liabilities" (ADP 120; HRK 14,662 thous.), "Liabilities arising from share in the result" (ADP 123; HRK 8,685 thous.) and part of the item "Accrued expenses and deferred income" (ADP 124; HRK 60,449 thous.).                                                                                                                                                       The total short-term part of the item "Provisions" of the Audited Report (Note 32) in the amount of 18,381 thous. in the item "Deferred payment of expenses and income for the future period" (ADP 124: HRK 18,381 thous.).            </t>
    </r>
  </si>
  <si>
    <t>TOTAL LIABILITIES</t>
  </si>
  <si>
    <t>125</t>
  </si>
  <si>
    <t>Summary of adjustments of GFI-POD reclassified income statement and unconsolidated statement of comprehensive income from Audited report for 2021</t>
  </si>
  <si>
    <t>GFI-POD INCOME STATEMENT
for the period from 1 January 2021 to 31 December 2021
(in thousands of HRK)</t>
  </si>
  <si>
    <t>OPERATING INCOME (ADP 002+003+004+005+006)</t>
  </si>
  <si>
    <t>001</t>
  </si>
  <si>
    <t xml:space="preserve">  I. Revenues from sales with undertakings in a Group and sales revenues (outside the Group)</t>
  </si>
  <si>
    <t>002+003</t>
  </si>
  <si>
    <t>5</t>
  </si>
  <si>
    <t xml:space="preserve">  II. Revenues from use of own products, goods and services, other operating revenues with undertakings in a Group and other operating revenues (outside the Group)</t>
  </si>
  <si>
    <t>004+005+006</t>
  </si>
  <si>
    <t>Part of 6+part of 10</t>
  </si>
  <si>
    <r>
      <t>GFI-POD items "Revenues from use of own products, goods and services" (ADP 004; HRK 234 thous.), "Other operating revenues with undertakings in a Group" (ADP 005; HRK 281,038 thous.) and "Other operating revenues (outside the Group)" (ADP 006; HRK 28,171 thous.) are in Audited report presented under items "Other income" (Note 6; "Income from donations and other" HRK 2,104 thous., "Income from provision release" HRK 14,004 thous., "Reimbursed costs" HRK 2,470 thous., "Income from insurance and legal claims" HRK 4,531 thous., "Income from own consumption" HRK 234 thous., "Collection of receivables previously written-off" HRK 34 thous., "Other income" HRK 4,363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281,702 thous.).
Comment: The total amount of item "Other income" in Audited report (Note 6) is </t>
    </r>
    <r>
      <rPr>
        <sz val="9"/>
        <rFont val="Arial"/>
        <family val="2"/>
        <charset val="238"/>
      </rPr>
      <t>HRK 27,740</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004, 005 and 006; HRK 27,740 thous.). The total amount of item  "Other gains/(losses) - net" in Audited report (Note 10) is 281,702 thous. and is presented in item "Revenues from use of own products, goods and services, other operating revenues with undertakings in a Group and other operating revenues (outside the Group)" (ADP 004, 005 and 006, HRK 281,702 thous.).</t>
    </r>
  </si>
  <si>
    <t>OPERATING EXPENSES (ADP 009+013+017+018+019+022+029)</t>
  </si>
  <si>
    <t>007</t>
  </si>
  <si>
    <t>Due to a different presentation, but for the purpose of comparability of GFI-POD and Audited report it is necessary to jointly view GFI-POD items "Staff costs" (ADP 013; HRK 301,251 thous.), "Other expenditures" (ADP 018; HRK 113,161 thous.), "Value adjustment" (ADP 019; HRK 1,646 thous.), "Provisions" (ADP 022; 36,609 thous.) and "Other operating expenses" (ADP 029; HRK 8,946 thous.) in relation to items "Staff costs" (Note 8; HRK 376,046 thous.) and "Other operating expenses" (Note 9; HRK 85,566 thous.) of Audited report.</t>
  </si>
  <si>
    <t xml:space="preserve">  I. Material costs</t>
  </si>
  <si>
    <t>009</t>
  </si>
  <si>
    <t>7</t>
  </si>
  <si>
    <t>GFI-POD item "Material costs" (ADP 009; HRK 396,120 thous.) is in Audited report presented under item "Cost of materials and services" (Note 7 in comparable amount of HRK 396,120 thous.).</t>
  </si>
  <si>
    <t xml:space="preserve">  II. Staff costs</t>
  </si>
  <si>
    <t>013</t>
  </si>
  <si>
    <t>Part of 8</t>
  </si>
  <si>
    <t>GFI-POD item "Staff costs" (ADP 013; HRK 301,251 thous.) is in Audited report presented under item "Staff costs" (Note 8; "Net salaries"  HRK 185,544 thous., "Pension contributions"  HRK 53,978 thous., "Health insurance contributions" HRK 39,419 thous., "Other (contributions and taxes)" HRK 22,310 thous.).
Comment: The total amount of item "Staff costs" in Audited report (Note 8) is HRK 376,046 thous. and is presented in "Staff costs" (ADP 013; HRK 301,251 thous.), "Other expenditures" (ADP 018; HRK 65,502 thous.) and "Provisions" (ADP 022; HRK 9,293 thous.).</t>
  </si>
  <si>
    <t xml:space="preserve">  III. Depreciation and amortisation</t>
  </si>
  <si>
    <t>017</t>
  </si>
  <si>
    <t>14+15+16+30</t>
  </si>
  <si>
    <t xml:space="preserve">  IV. Other expenditures</t>
  </si>
  <si>
    <t>018</t>
  </si>
  <si>
    <t>Part of 8+part of 9</t>
  </si>
  <si>
    <t>GFI-POD item "Other expenditures" (ADP 018; HRK 113,161 thous.) is in Audited report presented under items "Staff costs" (Note 8; "Termination benefits" HRK 277 thous., "Other staff costs" HRK 65,225 thous.) and "Other operating expenses" (Note 9; "Municipal charges, concessions and other" HRK 21,697 thous., "Professional services" HRK 15,324 thous., "Entertainment" HRK 3,490 thous. HRK, "Insurance premiums" HRK 5,492 thous., "Bank charges" HRK 778 thous., "Subscription to magazines and other administrative expenses" HRK 877 thous.).
Comment: The total amount of item "Staff costs" in Audited report (Note 8) is HRK 376,046 thous. and is presented in "Staff costs" (ADP 013; HRK 301,251 thous.), "Other expenditures" (ADP 018; HRK 65,502 thous.) and "Provisions" (ADP 022; HRK 9,293 thous.).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</si>
  <si>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 xml:space="preserve">  V. Value adjustment</t>
  </si>
  <si>
    <t>019</t>
  </si>
  <si>
    <t>Part of 9</t>
  </si>
  <si>
    <t>GFI-POD item "Value adjustment" (ADP 019; HRK 1,646 thous.) is in Audited report presented under item "Other operating expenses" (Note 9; "Impairment of assets" in comparable amount of HRK 1,646 thous.).
Comment: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</si>
  <si>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 xml:space="preserve">  VI. Provisions</t>
  </si>
  <si>
    <t>022</t>
  </si>
  <si>
    <t>GFI-POD item "Provisions" (ADP 022; HRK 36,609 thous.) is in Audited report presented under items "Staff costs" (Note 8; "Provisions for termination benefits and jubilee awards" HRK 9,293 thous.), "Other operating expenses" (Note 9; "Provisions" HRK 2,488 thous. and "Reservations for tourist land" HRK 24,828 thous.).
Comment: The total amount of item "Staff costs" in Audited report (Note 8) is HRK 376,046 thous. and is presented in "Staff costs" (ADP 013; HRK 301,251 thous.), "Other expenditures" (ADP 018; HRK 65,502 thous.) and "Provisions" (ADP 022; HRK 9,293 thous.).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</si>
  <si>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 xml:space="preserve">  VII. Other operating expenses</t>
  </si>
  <si>
    <t>029</t>
  </si>
  <si>
    <t>GFI-POD item "Other operating expenses" (ADP 029; HRK 8,946 thous.) is in Audited report presented under items "Other operating expenses" (Note 9; "Write-off of property, plant and equipment" HRK 2,511 thous., "Other operating expenses" HRK 6,435 thous.).
Comment: The total amount of item "Other operating expenses" in Audited report (Note 9) is HRK 85,566 thous. and is presented in items "Other expenditures" (ADP 018; HRK 47,658 thous.), "Value adjustment" (ADP 019; HRK 1,646 thous.), "Provisions" (ADP 022; HRK 27,316 thous.) and "Other operating expenses" (ADP 029; HRK 8,946 thous.).</t>
  </si>
  <si>
    <t>FINANCIAL INCOME</t>
  </si>
  <si>
    <t>030</t>
  </si>
  <si>
    <t>11</t>
  </si>
  <si>
    <t>GFI-POD item "Financial income" (ADP 030; HRK 21,059 thous.) is in Audited report presented under items "Financial income/(loss) - net" in part of financial income (Note 11; "Interest income" HRK 67 thous., "Net foreign exchange gains/(losses) - other" HRK 3,312 thous., "Realised net gains/(losses) from changes in value of forwards and interest rate swaps" HRK 4,729 thous., "Income from cassa sconto" HRK 743 thous., "Dividend income and other financial income" HRK 229 thous., "Net foreign exchange gains from financial activities" HRK 7,475 thous. and "Change in the value of currency forward contracts and interest rate swaps" HRK 4,504 thous.).
Comment: The total amount of item "Finance income/(expense) - net" in Audited report (Note 11) is HRK 43,921 thous. and is presented in items "Financial income" (ADP 030; HRK 21,059 thous.) and "Financial costs" (ADP 041; HRK 64,980 thous.).</t>
  </si>
  <si>
    <t>FINANCIAL COSTS</t>
  </si>
  <si>
    <t>041</t>
  </si>
  <si>
    <t>GFI-POD item "Financial costs" (ADP 041; HRK 64,980 thous.) is in Audited report presented under item "Finance income/(expense) - net" in part of financial expenses (Note 11; "Interest expense" HRK 64,980 thous.)
Comment: The total amount of item "Finance income/(expense) - net" in Audited report (Note 11) is HRK 43,921 thous. and is presented in items "Financial income" (ADP 030; HRK 21,059 thous.) and "Financial costs" (ADP 041; HRK 64,980 thous.).</t>
  </si>
  <si>
    <t>TOTAL INCOME (ADP 001+030)</t>
  </si>
  <si>
    <t>TOTAL COSTS (ADP 007+041)</t>
  </si>
  <si>
    <t>054</t>
  </si>
  <si>
    <t>PROFIT OR LOSS BEFORE TAX (ADP 053-054)</t>
  </si>
  <si>
    <t>055</t>
  </si>
  <si>
    <t>INCOME TAX EXPENSE</t>
  </si>
  <si>
    <t>058</t>
  </si>
  <si>
    <t>PROFIT OR LOSS FOR THE PERIOD (ADP 055-058)</t>
  </si>
  <si>
    <t>059</t>
  </si>
  <si>
    <t>Summary of adjustments of GFI-POD cash flow statement and unconsolidated cash flow statement from Audited report for 2021</t>
  </si>
  <si>
    <t>GFI-POD CASH FLOW STATEMENT
for the period from 1 January 2021 to 31 December 2021
(in thousands of HRK)</t>
  </si>
  <si>
    <t>AUDITED REPORT
Note</t>
  </si>
  <si>
    <t xml:space="preserve">
GFI-POD</t>
  </si>
  <si>
    <t>Audited report</t>
  </si>
  <si>
    <t>Difference</t>
  </si>
  <si>
    <t>A) NET CASH FLOW FROM OPERATING ACTIVITIES</t>
  </si>
  <si>
    <t>GFI-POD item "Net cash flow from operating activities" (ADP 020; HRK 473,548 thous.) is in Audited report presented in items "Net cash inflow from operating activities" in comparable amount of HRK 537,980 thous. and item "Interest paid" (Net cash inflow from financing activities) in the amount of HRK -64,432 thous.</t>
  </si>
  <si>
    <t>B) NET CASH FLOW  FROM INVESTMENT ACTIVITIES</t>
  </si>
  <si>
    <t>034</t>
  </si>
  <si>
    <t>GFI-POD item "Net cash flow from investment activities" (ADP 034; HRK -77,667 thous.) is in Audited report presented in item "Net cash outflow from investment activities" in comparable amount of HRK -77,667 thous.</t>
  </si>
  <si>
    <t>C) NET CASH FLOW FROM FINANCING ACTIVITIES</t>
  </si>
  <si>
    <t>GFI-POD item "Net cash flow from financing activities" (ADP 046; HRK -336,714 thous.) is in Audited report presented in item "Net cash inflow from financing activities" in comparable amount of HRK -272,282 thous. increased for the item "Interest paid" in the amount of HRK -64,432 thous.</t>
  </si>
  <si>
    <t>D) NET INCREASE OR DECREASE OF CASH FLOW (ADP 020+034+046)</t>
  </si>
  <si>
    <t>048</t>
  </si>
  <si>
    <t>049</t>
  </si>
  <si>
    <t>F) CASH AND CASH EQUIVALENTS AT THE END OF THE PERIOD (ADP 048+049)</t>
  </si>
  <si>
    <t>050</t>
  </si>
  <si>
    <t>Summary of adjustments of GFI-POD statement of changes in equity and unconsolidated statement of changes in shareholder's equity from Audited report for 2021</t>
  </si>
  <si>
    <t>GFI-POD STATEMENT OF CHANGES IN EQUITY
for the period from 1 January 2021 to 31 December 2021
(in thousands of HRK)</t>
  </si>
  <si>
    <t>CAPITAL AND RESERVES (ADP 31 do 50)</t>
  </si>
  <si>
    <t>51</t>
  </si>
  <si>
    <t>GFI-POD item "Capital and reserves" (ADP 067; HRK 2,619,280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81 thous.), "Legal reserves" (Note 28 in comparable amount of  HRK 83,601 thous.), "Other reserves" (Note 28 in comparable amount of HRK 105,846 thous.) and "Retained earnings" (Note 28 in comparable amount of  HRK 876,438 thous.).                                                                                                                                     Comment: To be fully compliant, the following items should be viewed as follows: the "Other reserves" item of Audited report (Note 28; HRK 105,846 thous.) matches the GFI POD item "Reserves for own shares" (ADP 072; HRK 136,815 thous.) and part of GFI POD item "Retained earnings" (ADP 083; HRK -33,219 thous.) and GFI POD items "Other reserves" (ADP 075 HRK 2,250 thous.). The "Retained earnings" item of Audited report (Note 28; HRK 876,438 thous.) matches the sum of GFI POD items "Profit for the financial year" (ADP 086; HRK 304,605 thous.) and part of "Retained earnings" (ADP 083; HRK 571,833 thous.).</t>
  </si>
  <si>
    <t>Summary of adjustments of GFI-POD balance sheet and unconsolidated balance sheet from Audited report for 2022</t>
  </si>
  <si>
    <t>GFI-POD BALANCE SHEET
as at 31 December 2022
(in thousands of HRK)</t>
  </si>
  <si>
    <t>Summary of adjustments of GFI-POD reclassified income statement and unconsolidated statement of comprehensive income from Audited report for 2022</t>
  </si>
  <si>
    <t>Summary of adjustments of GFI-POD cash flow statement and unconsolidated cash flow statement from Audited report for 2022</t>
  </si>
  <si>
    <t>14+15+16+17+part of 18+20+part of 21+part of 23+part of 24+25+part of 30</t>
  </si>
  <si>
    <t>17+part of 18+20+part of 21+part of 24</t>
  </si>
  <si>
    <t>GFI-POD item "Tangible assets" (ADP 010; HRK  3,525,519 thous.) is in Audited report presented under items "Property, plant and equipment" (Note 14 in comparable amount of HRK 3,496,015 thous.), "Investment property" (Note 15 in comparable amount of HRK 2,902 thous.), and "Right-of-use assets" (Note 30 in comparable amount of HRK 26,602 thous.).</t>
  </si>
  <si>
    <t>Part of 21+22+part of 23+part of 24+26</t>
  </si>
  <si>
    <t>Due to a different presentation, but for the purpose of comparability of GFI-POD and Audited report it is necessary to jointly view GFI-POD items "Current assets" (ADP 037; HRK 525,781 thous.) and "Prepayments and accrued income" (ADP 064; HRK 16,349 thous.) in relation to item "Current assets" of Audited report (HRK 542,130 thous.).</t>
  </si>
  <si>
    <t>GFI-POD item "Receivables" (ADP 046; HRK 39,547 thous.) is in Audited report presented under items "Trade and other receivables" (Note 23; "Trade receivables – net" HRK 36,080 thous., "VAT receivable" HRK 1,444 thous., "Advances to suppliers" HRK 91 thous., "Receivables from employees" HRK 294 thous., "Receivables from state institutions" HRK 592 thous. and part of "Other current liabilities" HRK 1,046 thous.).
Comment: The total amount of item "Trade and other receivables" in Audited report  (Note 23) is HRK 55,896 thous. and is presented in items "Receivables" (ADP 046; HRK 39,547 thous.) and "Prepayments and accrued income" (ADP 064; HRK 16,349 thous.).</t>
  </si>
  <si>
    <t>Part of 21+part of 24</t>
  </si>
  <si>
    <t>GFI-POD item "Cash and cash equivalents" (ADP 063; HRK 446,558 thous.) is in Audited report presented under item "Cash and cash equivalents" (Note 26 in comparable amount of HRK 446,558 thous.).</t>
  </si>
  <si>
    <t>GFI-POD item "Prepayments and accrued income" (ADP 064; HRK 16,349 thous.) is in Audited report presented under items "Trade and other receivables" (Note 23; "Accrued income" HRK 2,394 thous., "Interest receivables" HRK 27 thous., "Prepaid expenses" HRK 13,913 thous. and part of "Other current liabilities" HRK 15 thous.).
Comment: The total amount of item "Trade and other receivables" in Audited report  (Note 23) is HRK 55,896 thous. and is presented in items "Receivables" (ADP 046; HRK 39,547 thous.) and "Prepayments and accrued income" (ADP 064; HRK 16,349 thous.).</t>
  </si>
  <si>
    <t>32+part of 31</t>
  </si>
  <si>
    <t>GFI-POD item "Provisions" (ADP 090; HRK 147,878 thous.) is in Audited report presented under non-current liabilities in item "Provisions" (Note 32 part of the item "Severance pay and jubilee awards" in the amount HRK 21,600 thous. with the item “Legal Disputes” in a comparable amount HRK 28,715 thous. and "Other" HRK 39,725 thous.) and non-current liabilities under item "Concession fee" (Note 31 in comparable amount of HRK 57,838 thous).</t>
  </si>
  <si>
    <t>Part of 30</t>
  </si>
  <si>
    <t>25+part of 29+part of 30</t>
  </si>
  <si>
    <t>Due to a different presentation, but for the purpose of comparability of GFI-POD and Audited report it is necessary to jointly view GFI-POD items "Non-current liabilities" (ADP 097; HRK 1,418,778 thous.) and "Provisions" (ADP 090; HRK 147,878 thous.) in relation to item "Non-current liabilities" of Audited report (HRK 1,566,655 thous.).</t>
  </si>
  <si>
    <t>GFI-POD item "Liabilities to banks and other financial institutions" (ADP 103; HRK 1,389,452 thous.) is in Audited report presented under non-current part of item "Borrowings" (Note 29 in comparable amount of HRK 1,389,452 thous.).</t>
  </si>
  <si>
    <r>
      <t xml:space="preserve">GFI-POD item "Other non-current liabilities" (ADP 107; HRK 17,745 </t>
    </r>
    <r>
      <rPr>
        <sz val="9"/>
        <rFont val="Arial"/>
        <family val="2"/>
        <charset val="238"/>
      </rPr>
      <t>thous.)</t>
    </r>
    <r>
      <rPr>
        <sz val="9"/>
        <color theme="1"/>
        <rFont val="Arial"/>
        <family val="2"/>
        <charset val="238"/>
      </rPr>
      <t xml:space="preserve"> is in Audited report presented under non-current part of item "Lease liabilities" (Note 30 in comparable amount of HRK 17,745 thous.) </t>
    </r>
  </si>
  <si>
    <t>Part of 30+part of 31</t>
  </si>
  <si>
    <t>Part of 29+part of 30+part of 31</t>
  </si>
  <si>
    <t>Due to a different presentation, but for the purpose of comparability of GFI-POD and Audited report it is necessary to jointly view GFI-POD items "Current liabilities" (ADP 109; HRK 522,198 thous.) and "Accrued expenses and deferred income" (ADP 124; HRK 59,403 thous.) in relation to item "Current liabilities" of Audited report (HRK 581,602 thous.).</t>
  </si>
  <si>
    <r>
      <t>GFI-POD item "Liabilities to banks and other financial institutions" (ADP 115</t>
    </r>
    <r>
      <rPr>
        <sz val="9"/>
        <rFont val="Arial"/>
        <family val="2"/>
        <charset val="238"/>
      </rPr>
      <t>; HRK 385,187 thous.) is in Audited report presented under current part of item "Borrowings" (Note 29; "Bank borrowings" in comparable amount of HRK 385,187 thous.).</t>
    </r>
  </si>
  <si>
    <t>GFI-POD item "Amounts payable for prepayment" (ADP 116; HRK 28,989 thous.) is in Audited report presented under current part of item "Trade and other payables" (Note 31; "Advances received" in comparable amount of HRK 28,989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t>
  </si>
  <si>
    <t>GFI-POD items "Liabilities to undertakings in a Group" (ADP 110; HRK 221 thous.), "Liabilities towards companies linked by virtue of participating interest" (ADP 112; HRK 18 thous.) and "Trade payables" (ADP 117; HRK 58,545 thous.) is in Audited report presented under current part of item "Trade and other payables" (Note 31; "Trade payables" HRK 58,466 thous., "Trade payables – related parties" HRK 318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t>
  </si>
  <si>
    <t>GFI-POD items "Liabilities to employees" (ADP 119; HRK 25,948 thous.) is in Audited report presented under current part of item  "Trade and other payables" (Note 31; "Liabilities to employees" in comparable amount HRK 25,948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t>
  </si>
  <si>
    <t>GFI-POD item "Taxes, contributions and similar liabilities" (ADP 120; HRK 10,515 thous.) is in Audited report presented under current part of item "Trade and other payables" (Note 31; "Liabilities for taxes and contributions and similar charges" in comparable amount of HRK 10,515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t>
  </si>
  <si>
    <t xml:space="preserve">GFI-POD item "Other current liabilities" (ADP 123; HRK 12,775 thous.) is in Audited report presented under current part of items "Trade and other payables" (Note 31; "Other liabilities" HRK 7,717 thous.) and "Lease liabilities" (Note 30 in comparable amount of HRK 5,058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                                                                                                                  </t>
  </si>
  <si>
    <t>6+10</t>
  </si>
  <si>
    <t>5+6+10</t>
  </si>
  <si>
    <r>
      <t>GFI-POD items "Revenues from use of own products, goods and services" (ADP 004; HRK 405 thous.), "Other operating revenues with undertakings in a Group" (ADP 005; HRK 474,455 thous.) and "Other operating revenues (outside the Group)" (ADP 006; HRK 32,262 thous.) are in Audited report presented under items "Other income" (Note 6; "Income from donations and other" HRK 2,816 thous., "Income from provision release" HRK 6,341 thous., "Reimbursed costs" HRK 5,710 thous., "Income from insurance and legal claims" HRK 2,874 thous., "Income from own consumption" HRK 405 thous., "Collection of receivables previously written-off" HRK 2,146 thous., "Other income" HRK 6,431 thous.), and "Other gains/(losses) - net" (Note 10; "Net gains on sale of property, plant and equipment"</t>
    </r>
    <r>
      <rPr>
        <sz val="9"/>
        <color rgb="FFFF0000"/>
        <rFont val="Arial"/>
        <family val="2"/>
        <charset val="238"/>
      </rPr>
      <t xml:space="preserve"> </t>
    </r>
    <r>
      <rPr>
        <sz val="9"/>
        <color theme="1"/>
        <rFont val="Arial"/>
        <family val="2"/>
        <charset val="238"/>
      </rPr>
      <t>HRK 480,399 thous.).</t>
    </r>
  </si>
  <si>
    <t>7+8+9+14+15+16+30</t>
  </si>
  <si>
    <t>Due to a different presentation, but for the purpose of comparability of GFI-POD and Audited report it is necessary to jointly view GFI-POD items "Staff costs" (ADP 013; HRK 557,627 thous.), "Other expenditures" (ADP 018; HRK 185,195 thous.), "Value adjustment" (ADP 019; HRK 248 thous.), "Provisions" (ADP 022; 18,815 thous.) and "Other operating expenses" (ADP 029; HRK 7,413 thous.) in relation to items "Staff costs" (Note 8; HRK 672,395 thous.) and "Other operating expenses" (Note 9; HRK 96,903 thous.) of Audited report.</t>
  </si>
  <si>
    <t>GFI-POD item "Material costs" (ADP 009; HRK 627,289 thous.) is in Audited report presented under item "Cost of materials and services" (Note 7 in comparable amount of HRK 627,289 thous.).</t>
  </si>
  <si>
    <t>GFI-POD item "Other expenditures" (ADP 018; HRK 185,195 thous.) is in Audited report presented under items "Staff costs" (Note 8; "Termination benefits" HRK 451 thous., "Other staff costs" HRK 111,388 thous.) and "Other operating expenses" (Note 9; "Municipal charges, concessions and other" HRK 32,433 thous., "Professional services" HRK 25,113 thous., "Entertainment" HRK 6,422 thous. HRK, "Insurance premiums" HRK 6,533 thous., "Bank charges" HRK 1,252 thous., "Subscription to magazines and other administrative expenses" HRK 1,603 thous.).
Comment: The total amount of item "Staff costs" in Audited report (Note 8) is HRK 672,395 thous. and is presented in "Staff costs" (ADP 013; HRK 557,627 thous.), "Other expenditures" (ADP 018; HRK 111,839 thous.) and "Provisions" (ADP 022; HRK 2,929 thous.).
The total amount of item "Other operating expenses" in Audited report (Note 9) is HRK 96,903 thous. and is presented in items "Other expenditures" (ADP 018; HRK 73,356 thous.), "Value adjustment" (ADP 019; HRK 248 thous.), "Provisions" (ADP 022; HRK 15,886 thous.) and "Other operating expenses" (ADP 029; HRK 7,413 thous.).</t>
  </si>
  <si>
    <t>GFI-POD item "Value adjustment" (ADP 019; HRK 248 thous.) is in Audited report presented under item "Other operating expenses" (Note 9; "Impairment of assets" in comparable amount of HRK 248 thous.).
Comment: The total amount of item "Other operating expenses" in Audited report (Note 9) is HRK 96,903 thous. and is presented in items "Other expenditures" (ADP 018; HRK 73,356 thous.), "Value adjustment" (ADP 019; HRK 248 thous.), "Provisions" (ADP 022; HRK 15,886 thous.) and "Other operating expenses" (ADP 029; HRK 7,413 thous.).</t>
  </si>
  <si>
    <t>GFI-POD item "Provisions" (ADP 022; HRK 18,815 thous.) is in Audited report presented under items "Staff costs" (Note 8; "Provisions for termination benefits and jubilee awards" HRK 2,929 thous.), "Other operating expenses" (Note 9; "Provisions" HRK 989 thous. and "Reservations for tourist land" HRK 14,897 thous.).
Comment: The total amount of item "Staff costs" in Audited report (Note 8) is HRK 672,395 thous. and is presented in "Staff costs" (ADP 013; HRK 557,627 thous.), "Other expenditures" (ADP 018; HRK 111,839 thous.) and "Provisions" (ADP 022; HRK 2,929 thous.).
The total amount of item "Other operating expenses" in Audited report (Note 9) is HRK 96,903 thous. and is presented in items "Other expenditures" (ADP 018; HRK 73,356 thous.), "Value adjustment" (ADP 019; HRK 248 thous.), "Provisions" (ADP 022; HRK 15,886 thous.) and "Other operating expenses" (ADP 029; HRK 7,413 thous.).</t>
  </si>
  <si>
    <t>GFI-POD item "Other operating expenses" (ADP 029; HRK 7,413 thous.) is in Audited report presented under items "Other operating expenses" (Note 9; "Write-off of property, plant and equipment" HRK 1,749 thous., "Other operating expenses" HRK 5,664 thous.).
Comment: The total amount of item "Other operating expenses" in Audited report (Note 9) is HRK 96,903 thous. and is presented in items "Other expenditures" (ADP 018; HRK 73,356 thous.), "Value adjustment" (ADP 019; HRK 248 thous.), "Provisions" (ADP 022; HRK 15,886 thous.) and "Other operating expenses" (ADP 029; HRK 7,413 thous.).</t>
  </si>
  <si>
    <t>GFI-POD item "Financial income" (ADP 030; HRK 70,947 thous.) is in Audited report presented under items "Financial income/(loss) - net" in part of financial income (Note 11; "Interest income" HRK 66 thous., "Net foreign exchange gains/(losses) - other" HRK 4,429 thous., "Realised net gains/(losses) from changes in value of forwards and interest rate swaps" HRK 3,367 thous., "Income from cassa sconto" HRK 1,688 thous., "Dividend income and other financial income" HRK 38,430 thous. and "Change in the value of currency forward contracts and interest rate swaps" HRK 22,967 thous.).
Comment: The total amount of item "Finance income/(expense) - net" in Audited report (Note 11) is HRK 13,872 thous. and is presented in items "Financial income" (ADP 030; HRK 70,947 thous.) and "Financial costs" (ADP 041; HRK 57,075 thous.).</t>
  </si>
  <si>
    <t>GFI-POD STATEMENT OF CHANGES IN EQUITY
for the period from 1 January 2022 to 31 December 2022
(in thousands of HRK)</t>
  </si>
  <si>
    <t>GFI-POD CASH FLOW STATEMENT
for the period from 1 January 2022 to 31 December 2022
(in thousands of HRK)</t>
  </si>
  <si>
    <r>
      <t xml:space="preserve">GFI-POD item "Financial assets" (ADP 020; HRK 1,068,140 thous.) is in Audited report presented under items "Investment in subsidiaries" (Note 17 in comparable amount of  941,804 thous.), "Investment in associated entity" (Note 18 in comparable amount of  HRK 107,185 thous. (presented in balance sheet as a separate line), Financial assets" (Note 20 in comparable amount of HRK 332 thous.), in the non-current part of item "Loans and deposits" (Note 21 in comparable amount of HRK 7,315 thous.) </t>
    </r>
    <r>
      <rPr>
        <sz val="9"/>
        <rFont val="Arial"/>
        <family val="2"/>
        <charset val="238"/>
      </rPr>
      <t>and in the non-current part of the item "Derivative financial instruments" (Note 24 in comparable amount of 11,504 thous.)
Comment: The total amount of item "Derivative financial instruments" of the Audited report (Note 24) in the amount of 18,585 thous. is presented in the items "Non-current financial assets" (ADP 020; HRK 11,504 thous.) and "Current financial assets" (ADP 053; HRK 7,081 thous.)</t>
    </r>
  </si>
  <si>
    <r>
      <t xml:space="preserve">GFI-POD item "Financial assets" (ADP 053; HRK 7,337 thous.) is in Audited report presented under item "Loans and deposits" - current part (Note 21 in comparable amount of HRK 256 thous.) </t>
    </r>
    <r>
      <rPr>
        <sz val="9"/>
        <rFont val="Arial"/>
        <family val="2"/>
        <charset val="238"/>
      </rPr>
      <t>and in the current part of the item "Derivative financial instruments" (Note 24 in comparable amount of 7,081 thous.)
Comment: The total amount of item "Derivative financial instruments" of the Audited report (Note 24) in the amount of 18,585 thous. is presented in the items "Non-current financial assets" (ADP 020; HRK 11,504 thous.) and "Current financial assets" (ADP 053; HRK 7,081 thous.)</t>
    </r>
  </si>
  <si>
    <t xml:space="preserve">GFI-POD item "Accrued expenses and deferred income" (ADP 124; HRK 59,403 thous.) is in Audited report presented under items "Trade and other payables" (Note 31; "Interest payable" HRK 2,205 thous.,  "Liabilities for calculated vacation and redistribution hours" HRK 15,058 thous., "Accrued VAT liabilities in unrealized income" HRK 289 thous., "Liabilities for calculated costs" HRK 32,575 thous. and "Liabilities for the calculation of taxes for staff rewarding" HRK 9,276 thous.).
Comment: The total current amount of item "Trade and other payables" in Audited report (Note 31) is HRK 191,357 thous. and is presented in items "Amounts payable for prepayment" (ADP 116; HRK 28,989 thous.), "Liabilities towards undertakings within the group, Liabilities towards companies linked by virtue of participating interest, Liabilities towards suppliers" (ADP 110, 112 and 117; HRK 58,784 thous.), "Liabilities to employees" (ADP 119; HRK 25,948 thous.), "Taxes, contributions and similar liabilities" (ADP 120; HRK 10,515 thous.), "Liabilities arising from share in the result" (ADP 123; HRK 7,717 thous.) and part of the item "Accrued expenses and deferred income" (ADP 124; HRK 59,403 thous.).           </t>
  </si>
  <si>
    <t>GFI-POD INCOME STATEMENT
for the period from 1 January 2022 to 31 December 2022
(in thousands of HRK)</t>
  </si>
  <si>
    <t xml:space="preserve">                   NOTES TO THE ANNUAL FINANCIAL STATEMENTS - GFI
Name of issuer:   Valamar Riviera d.d.
Personal identification number (OIB):   36201212847
Reporting period: 01/01/2022 - 31/12/2022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</si>
  <si>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 xml:space="preserve">Detailed information on financial statements are available in PDF document „Annual report 2022“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</si>
  <si>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2022“ which has been simultaneously published with this document on HANFA (Croatian Financial Services Supervisory Agency), Zagreb Stock Exchange and Issuers web pages. </t>
  </si>
  <si>
    <t>Company Valamar Riviera d.d. below presents comparison tables of items in GFI POD financial statements and audited Notes for 2021 and 2022.</t>
  </si>
  <si>
    <t>Summary of adjustments of GFI-POD statement of changes in equity and unconsolidated statement of changes in shareholder's equity from Audited report for 2022</t>
  </si>
  <si>
    <t>GFI-POD item "Capital and reserves" (ADP 067; HRK 3,074,950 thous.) is in Audited report presented under item "Share capital" (Notes 27 and 28 in comparable amount of HRK 3,074,950 thous.).</t>
  </si>
  <si>
    <t>GFI-POD item "Capital and reserves" (ADP 067; HRK 3,074,950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59 thous.), "Legal reserves" (Note 28 in comparable amount of  HRK 83,601 thous.), "Other reserves" (Note 28 in comparable amount of HRK 213,869 thous.) and "Retained earnings" (Note 28 in comparable amount of  HRK 1,224,108 thous.).                                                                                                                                     Comment: To be fully compliant, the following items should be viewed as follows: the "Other reserves" item of Audited report (Note 28; HRK 213,869 thous.) matches the GFI POD item "Reserves for own shares" (ADP 072; HRK 136,815 thous.) and part of GFI POD item "Retained earnings" (ADP 083; HRK -38,520 thous.) and GFI POD items "Other reserves" (ADP 075 HRK 38,534 thous.). The "Retained earnings" item of Audited report (Note 28; HRK 1,224,108 thous.) matches the sum of GFI POD items "Profit for the financial year" (ADP 086; HRK 560,684 thous.) and part of "Retained earnings" (ADP 083; HRK 663,425 thous.).</t>
  </si>
  <si>
    <r>
      <t>GFI-POD item "Staff costs" (ADP 013; HRK 557,627 thous.) is in Audited report presented under item "Staff costs" (Note 8; "Net salaries"  HRK 361,681 thous.</t>
    </r>
    <r>
      <rPr>
        <sz val="9"/>
        <color rgb="FFFF0000"/>
        <rFont val="Arial"/>
        <family val="2"/>
        <charset val="238"/>
      </rPr>
      <t>, "Pension and taxes contributions"  HRK 129,991 thous., "Health insurance contributions" HRK 65,955 thous.).</t>
    </r>
    <r>
      <rPr>
        <sz val="9"/>
        <color theme="1"/>
        <rFont val="Arial"/>
        <family val="2"/>
        <charset val="238"/>
      </rPr>
      <t xml:space="preserve">
Comment: The total amount of item "Staff costs" in Audited report (Note 8) is HRK 672,395 thous. and is presented in "Staff costs" (ADP 013; HRK 557,627 thous.), "Other expenditures" (ADP 018; HRK 111,839 thous.) and "Provisions" (ADP 022; HRK 2,929 thous.).</t>
    </r>
  </si>
  <si>
    <r>
      <t>GFI-POD item "Financial costs" (ADP 041; HRK 57,075 thous.) is in Audited report presented under item "Finance income/(expense) - net" in part of financial expenses (Note 11; "Interest expense" HRK</t>
    </r>
    <r>
      <rPr>
        <b/>
        <sz val="9"/>
        <color rgb="FFFF0000"/>
        <rFont val="Arial"/>
        <family val="2"/>
        <charset val="238"/>
      </rPr>
      <t xml:space="preserve"> 47,827 </t>
    </r>
    <r>
      <rPr>
        <b/>
        <sz val="9"/>
        <color rgb="FF333399"/>
        <rFont val="Arial"/>
        <family val="2"/>
        <charset val="238"/>
      </rPr>
      <t xml:space="preserve">thous., </t>
    </r>
    <r>
      <rPr>
        <b/>
        <sz val="9"/>
        <color rgb="FFFF0000"/>
        <rFont val="Arial"/>
        <family val="2"/>
        <charset val="238"/>
      </rPr>
      <t xml:space="preserve">"Expences of financial instruments" HRK 1,146 tis., </t>
    </r>
    <r>
      <rPr>
        <b/>
        <sz val="9"/>
        <color rgb="FF333399"/>
        <rFont val="Arial"/>
        <family val="2"/>
        <charset val="238"/>
      </rPr>
      <t>"Other financial costs" HRK 1,880 thous. and "Net negative exchange rate differences from financial activities" HRK 6,222 thous.).
Comment: The total amount of item "Finance income/(expense) - net" in Audited report (Note 11) is HRK 13,872 thous. and is presented in items "Financial income" (ADP 030; HRK 70,947 thous.) and "Financial costs" (ADP 041; HRK 57,075 thous.).</t>
    </r>
  </si>
  <si>
    <r>
      <t>GFI-POD item "Net cash flow from operating activities" (ADP 020; HRK 542,352 thous.) is in Audited report presented in items "Net cash inflow from operating activities" in comparable amount of HRK 612,814 thous. and item "Interest paid" (Net cash inflow from financing activities) in the amount of HRK</t>
    </r>
    <r>
      <rPr>
        <b/>
        <sz val="9"/>
        <color rgb="FFFF0000"/>
        <rFont val="Arial"/>
        <family val="2"/>
        <charset val="238"/>
      </rPr>
      <t xml:space="preserve"> -70,462 tho</t>
    </r>
    <r>
      <rPr>
        <b/>
        <sz val="9"/>
        <color rgb="FF333399"/>
        <rFont val="Arial"/>
        <family val="2"/>
        <charset val="238"/>
      </rPr>
      <t>us.</t>
    </r>
  </si>
  <si>
    <t>GFI-POD item "Net cash flow from investment activities" (ADP 034; HRK -149,710 thous.) is in Audited report presented in item "Net cash outflow from investment activities" in comparable amount of HRK -149,710 thous.</t>
  </si>
  <si>
    <r>
      <t>GFI-POD item "Net cash flow from financing activities" (ADP 046; HRK</t>
    </r>
    <r>
      <rPr>
        <b/>
        <sz val="9"/>
        <color rgb="FFFF0000"/>
        <rFont val="Arial"/>
        <family val="2"/>
        <charset val="238"/>
      </rPr>
      <t xml:space="preserve"> -528,225</t>
    </r>
    <r>
      <rPr>
        <b/>
        <sz val="9"/>
        <color rgb="FF333399"/>
        <rFont val="Arial"/>
        <family val="2"/>
        <charset val="238"/>
      </rPr>
      <t xml:space="preserve"> thous.) is in Audited report presented in item "Net cash inflow from financing activities" in comparable amount of HRK -457,764 thous. increased for the item "Interest paid" in the amount of HRK -</t>
    </r>
    <r>
      <rPr>
        <b/>
        <sz val="9"/>
        <color rgb="FFFF0000"/>
        <rFont val="Arial"/>
        <family val="2"/>
        <charset val="238"/>
      </rPr>
      <t>70,462</t>
    </r>
    <r>
      <rPr>
        <b/>
        <sz val="9"/>
        <color rgb="FF333399"/>
        <rFont val="Arial"/>
        <family val="2"/>
        <charset val="238"/>
      </rPr>
      <t xml:space="preserve"> thous.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</si>
</sst>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
    <numFmt numFmtId="166" formatCode="00"/>
  </numFmts>
  <fonts count="5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10"/>
      <color rgb="FF333399"/>
      <name val="Arial"/>
      <family val="2"/>
      <charset val="238"/>
    </font>
    <font>
      <b/>
      <sz val="10"/>
      <color rgb="FFFF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9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164" fontId="43" fillId="0" borderId="0" applyFont="0" applyFill="0" applyBorder="0" applyAlignment="0" applyProtection="0"/>
  </cellStyleXfs>
  <cellXfs count="44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6" fontId="16" fillId="0" borderId="44" xfId="0" applyNumberFormat="1" applyFont="1" applyFill="1" applyBorder="1" applyAlignment="1" applyProtection="1">
      <alignment horizontal="center" vertical="center"/>
    </xf>
    <xf numFmtId="166" fontId="16" fillId="9" borderId="44" xfId="0" applyNumberFormat="1" applyFont="1" applyFill="1" applyBorder="1" applyAlignment="1" applyProtection="1">
      <alignment horizontal="center" vertical="center"/>
    </xf>
    <xf numFmtId="166"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5" fontId="4" fillId="0" borderId="33" xfId="0" applyNumberFormat="1" applyFont="1" applyFill="1" applyBorder="1" applyAlignment="1" applyProtection="1">
      <alignment horizontal="center" vertical="center"/>
    </xf>
    <xf numFmtId="165" fontId="4" fillId="0" borderId="15" xfId="0" applyNumberFormat="1" applyFont="1" applyFill="1" applyBorder="1" applyAlignment="1" applyProtection="1">
      <alignment horizontal="center" vertical="center"/>
    </xf>
    <xf numFmtId="165" fontId="4" fillId="9" borderId="15" xfId="0" applyNumberFormat="1" applyFont="1" applyFill="1" applyBorder="1" applyAlignment="1" applyProtection="1">
      <alignment horizontal="center" vertical="center"/>
    </xf>
    <xf numFmtId="165" fontId="4" fillId="9" borderId="16" xfId="0" applyNumberFormat="1" applyFont="1" applyFill="1" applyBorder="1" applyAlignment="1" applyProtection="1">
      <alignment horizontal="center" vertical="center"/>
    </xf>
    <xf numFmtId="165"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5" fontId="4" fillId="10" borderId="33" xfId="0" applyNumberFormat="1" applyFont="1" applyFill="1" applyBorder="1" applyAlignment="1" applyProtection="1">
      <alignment horizontal="center" vertical="center"/>
    </xf>
    <xf numFmtId="165" fontId="4" fillId="10" borderId="15" xfId="0" applyNumberFormat="1" applyFont="1" applyFill="1" applyBorder="1" applyAlignment="1" applyProtection="1">
      <alignment horizontal="center" vertical="center"/>
    </xf>
    <xf numFmtId="0" fontId="11" fillId="10" borderId="0" xfId="3" applyFill="1" applyProtection="1"/>
    <xf numFmtId="165"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3" fontId="5" fillId="0" borderId="51" xfId="0" applyNumberFormat="1" applyFont="1" applyFill="1" applyBorder="1" applyAlignment="1" applyProtection="1">
      <alignment vertical="center"/>
      <protection locked="0"/>
    </xf>
    <xf numFmtId="0" fontId="21" fillId="10" borderId="0" xfId="0" applyFont="1" applyFill="1"/>
    <xf numFmtId="49" fontId="44" fillId="10" borderId="0" xfId="0" applyNumberFormat="1" applyFont="1" applyFill="1" applyAlignment="1">
      <alignment horizontal="center"/>
    </xf>
    <xf numFmtId="0" fontId="45" fillId="10" borderId="0" xfId="0" applyFont="1" applyFill="1"/>
    <xf numFmtId="0" fontId="46" fillId="10" borderId="0" xfId="0" applyFont="1" applyFill="1"/>
    <xf numFmtId="0" fontId="44" fillId="10" borderId="0" xfId="0" applyFont="1" applyFill="1"/>
    <xf numFmtId="0" fontId="44" fillId="15" borderId="0" xfId="0" applyFont="1" applyFill="1" applyAlignment="1">
      <alignment horizontal="center"/>
    </xf>
    <xf numFmtId="0" fontId="44" fillId="10" borderId="0" xfId="0" applyFont="1" applyFill="1" applyAlignment="1">
      <alignment horizontal="center"/>
    </xf>
    <xf numFmtId="0" fontId="44" fillId="15" borderId="52" xfId="0" applyFont="1" applyFill="1" applyBorder="1" applyAlignment="1">
      <alignment vertical="center" wrapText="1"/>
    </xf>
    <xf numFmtId="49" fontId="44" fillId="15" borderId="53" xfId="0" applyNumberFormat="1" applyFont="1" applyFill="1" applyBorder="1" applyAlignment="1">
      <alignment horizontal="center" vertical="center" wrapText="1"/>
    </xf>
    <xf numFmtId="0" fontId="44" fillId="15" borderId="54" xfId="0" applyFont="1" applyFill="1" applyBorder="1" applyAlignment="1">
      <alignment horizontal="center" vertical="center" wrapText="1"/>
    </xf>
    <xf numFmtId="0" fontId="35" fillId="9" borderId="55" xfId="0" applyFont="1" applyFill="1" applyBorder="1" applyAlignment="1">
      <alignment horizontal="left" vertical="center" wrapText="1"/>
    </xf>
    <xf numFmtId="49" fontId="35" fillId="9" borderId="56" xfId="0" applyNumberFormat="1" applyFont="1" applyFill="1" applyBorder="1" applyAlignment="1">
      <alignment horizontal="center" vertical="center"/>
    </xf>
    <xf numFmtId="49" fontId="35" fillId="9" borderId="56" xfId="0" applyNumberFormat="1" applyFont="1" applyFill="1" applyBorder="1" applyAlignment="1">
      <alignment horizontal="center" vertical="center" wrapText="1"/>
    </xf>
    <xf numFmtId="3" fontId="35" fillId="9" borderId="56" xfId="0" applyNumberFormat="1" applyFont="1" applyFill="1" applyBorder="1" applyAlignment="1">
      <alignment horizontal="right" vertical="center"/>
    </xf>
    <xf numFmtId="0" fontId="36" fillId="9" borderId="57" xfId="0" applyFont="1" applyFill="1" applyBorder="1" applyAlignment="1">
      <alignment horizontal="left" vertical="center"/>
    </xf>
    <xf numFmtId="0" fontId="47" fillId="10" borderId="55" xfId="0" applyFont="1" applyFill="1" applyBorder="1" applyAlignment="1">
      <alignment horizontal="left" vertical="center"/>
    </xf>
    <xf numFmtId="49" fontId="47" fillId="10" borderId="56" xfId="0" applyNumberFormat="1" applyFont="1" applyFill="1" applyBorder="1" applyAlignment="1">
      <alignment horizontal="center" vertical="center"/>
    </xf>
    <xf numFmtId="3" fontId="47" fillId="10" borderId="56" xfId="0" applyNumberFormat="1" applyFont="1" applyFill="1" applyBorder="1" applyAlignment="1">
      <alignment horizontal="right" vertical="center"/>
    </xf>
    <xf numFmtId="0" fontId="47" fillId="10" borderId="57" xfId="0" applyFont="1" applyFill="1" applyBorder="1" applyAlignment="1">
      <alignment horizontal="left" vertical="center"/>
    </xf>
    <xf numFmtId="0" fontId="47" fillId="10" borderId="55" xfId="0" applyFont="1" applyFill="1" applyBorder="1" applyAlignment="1">
      <alignment horizontal="left" vertical="center" wrapText="1"/>
    </xf>
    <xf numFmtId="49" fontId="47" fillId="10" borderId="56" xfId="0" applyNumberFormat="1" applyFont="1" applyFill="1" applyBorder="1" applyAlignment="1">
      <alignment horizontal="center" vertical="center" wrapText="1"/>
    </xf>
    <xf numFmtId="0" fontId="5" fillId="10" borderId="57" xfId="0" applyFont="1" applyFill="1" applyBorder="1" applyAlignment="1">
      <alignment horizontal="left" vertical="center" wrapText="1"/>
    </xf>
    <xf numFmtId="0" fontId="47" fillId="10" borderId="57" xfId="0" applyFont="1" applyFill="1" applyBorder="1" applyAlignment="1">
      <alignment horizontal="left" vertical="center" wrapText="1"/>
    </xf>
    <xf numFmtId="3" fontId="5" fillId="0" borderId="56" xfId="0" applyNumberFormat="1" applyFont="1" applyFill="1" applyBorder="1" applyAlignment="1">
      <alignment horizontal="right" vertical="center"/>
    </xf>
    <xf numFmtId="0" fontId="47" fillId="10" borderId="58" xfId="0" applyFont="1" applyFill="1" applyBorder="1" applyAlignment="1">
      <alignment horizontal="left" vertical="center"/>
    </xf>
    <xf numFmtId="49" fontId="44" fillId="10" borderId="59" xfId="0" applyNumberFormat="1" applyFont="1" applyFill="1" applyBorder="1" applyAlignment="1">
      <alignment horizontal="center" vertical="center"/>
    </xf>
    <xf numFmtId="3" fontId="47" fillId="10" borderId="59" xfId="0" applyNumberFormat="1" applyFont="1" applyFill="1" applyBorder="1" applyAlignment="1">
      <alignment horizontal="right" vertical="center"/>
    </xf>
    <xf numFmtId="0" fontId="47" fillId="10" borderId="59" xfId="0" applyFont="1" applyFill="1" applyBorder="1" applyAlignment="1">
      <alignment horizontal="right" vertical="center"/>
    </xf>
    <xf numFmtId="0" fontId="47" fillId="10" borderId="60" xfId="0" applyFont="1" applyFill="1" applyBorder="1" applyAlignment="1">
      <alignment wrapText="1"/>
    </xf>
    <xf numFmtId="0" fontId="35" fillId="9" borderId="57" xfId="0" applyFont="1" applyFill="1" applyBorder="1" applyAlignment="1">
      <alignment wrapText="1"/>
    </xf>
    <xf numFmtId="0" fontId="47" fillId="10" borderId="57" xfId="0" applyFont="1" applyFill="1" applyBorder="1" applyAlignment="1">
      <alignment vertical="center" wrapText="1"/>
    </xf>
    <xf numFmtId="0" fontId="35" fillId="9" borderId="57" xfId="0" applyFont="1" applyFill="1" applyBorder="1" applyAlignment="1">
      <alignment vertical="center" wrapText="1"/>
    </xf>
    <xf numFmtId="0" fontId="44" fillId="16" borderId="61" xfId="0" applyFont="1" applyFill="1" applyBorder="1" applyAlignment="1">
      <alignment horizontal="left" vertical="center"/>
    </xf>
    <xf numFmtId="49" fontId="44" fillId="17" borderId="62" xfId="0" applyNumberFormat="1" applyFont="1" applyFill="1" applyBorder="1" applyAlignment="1">
      <alignment horizontal="center" vertical="center"/>
    </xf>
    <xf numFmtId="49" fontId="44" fillId="17" borderId="63" xfId="0" applyNumberFormat="1" applyFont="1" applyFill="1" applyBorder="1" applyAlignment="1">
      <alignment horizontal="center" vertical="center"/>
    </xf>
    <xf numFmtId="3" fontId="44" fillId="17" borderId="63" xfId="0" applyNumberFormat="1" applyFont="1" applyFill="1" applyBorder="1" applyAlignment="1">
      <alignment horizontal="right" vertical="center"/>
    </xf>
    <xf numFmtId="3" fontId="44" fillId="17" borderId="64" xfId="0" applyNumberFormat="1" applyFont="1" applyFill="1" applyBorder="1" applyAlignment="1">
      <alignment horizontal="right" vertical="center"/>
    </xf>
    <xf numFmtId="0" fontId="47" fillId="10" borderId="65" xfId="0" applyFont="1" applyFill="1" applyBorder="1" applyAlignment="1">
      <alignment horizontal="left" vertical="center"/>
    </xf>
    <xf numFmtId="49" fontId="44" fillId="10" borderId="65" xfId="0" applyNumberFormat="1" applyFont="1" applyFill="1" applyBorder="1" applyAlignment="1">
      <alignment horizontal="center" vertical="center"/>
    </xf>
    <xf numFmtId="3" fontId="47" fillId="10" borderId="65" xfId="0" applyNumberFormat="1" applyFont="1" applyFill="1" applyBorder="1" applyAlignment="1">
      <alignment horizontal="right" vertical="center"/>
    </xf>
    <xf numFmtId="0" fontId="47" fillId="10" borderId="65" xfId="0" applyFont="1" applyFill="1" applyBorder="1" applyAlignment="1">
      <alignment horizontal="right" vertical="center"/>
    </xf>
    <xf numFmtId="0" fontId="35" fillId="9" borderId="66" xfId="0" applyFont="1" applyFill="1" applyBorder="1" applyAlignment="1">
      <alignment horizontal="left" vertical="center"/>
    </xf>
    <xf numFmtId="49" fontId="35" fillId="9" borderId="67" xfId="0" applyNumberFormat="1" applyFont="1" applyFill="1" applyBorder="1" applyAlignment="1">
      <alignment horizontal="center" vertical="center"/>
    </xf>
    <xf numFmtId="3" fontId="35" fillId="9" borderId="68" xfId="0" applyNumberFormat="1" applyFont="1" applyFill="1" applyBorder="1" applyAlignment="1">
      <alignment horizontal="right" vertical="center"/>
    </xf>
    <xf numFmtId="3" fontId="35" fillId="9" borderId="67" xfId="0" applyNumberFormat="1" applyFont="1" applyFill="1" applyBorder="1" applyAlignment="1">
      <alignment horizontal="right" vertical="center"/>
    </xf>
    <xf numFmtId="0" fontId="35" fillId="9" borderId="69" xfId="0" applyFont="1" applyFill="1" applyBorder="1" applyAlignment="1">
      <alignment horizontal="left" vertical="center" wrapText="1"/>
    </xf>
    <xf numFmtId="0" fontId="35" fillId="9" borderId="55" xfId="0" applyFont="1" applyFill="1" applyBorder="1" applyAlignment="1">
      <alignment horizontal="left" vertical="center"/>
    </xf>
    <xf numFmtId="0" fontId="47" fillId="0" borderId="57" xfId="0" applyFont="1" applyFill="1" applyBorder="1" applyAlignment="1">
      <alignment horizontal="left" vertical="center"/>
    </xf>
    <xf numFmtId="3" fontId="5" fillId="10" borderId="56" xfId="0" applyNumberFormat="1" applyFont="1" applyFill="1" applyBorder="1" applyAlignment="1">
      <alignment horizontal="right" vertical="center"/>
    </xf>
    <xf numFmtId="3" fontId="47" fillId="0" borderId="56" xfId="0" applyNumberFormat="1" applyFont="1" applyFill="1" applyBorder="1" applyAlignment="1">
      <alignment horizontal="right" vertical="center"/>
    </xf>
    <xf numFmtId="0" fontId="47" fillId="10" borderId="70" xfId="0" applyFont="1" applyFill="1" applyBorder="1" applyAlignment="1">
      <alignment horizontal="left" vertical="center" wrapText="1"/>
    </xf>
    <xf numFmtId="0" fontId="47" fillId="10" borderId="71" xfId="0" applyFont="1" applyFill="1" applyBorder="1" applyAlignment="1">
      <alignment horizontal="left" vertical="center" wrapText="1"/>
    </xf>
    <xf numFmtId="0" fontId="47" fillId="0" borderId="0" xfId="0" applyFont="1"/>
    <xf numFmtId="0" fontId="0" fillId="10" borderId="0" xfId="0" applyFill="1"/>
    <xf numFmtId="49" fontId="44" fillId="10" borderId="0" xfId="0" applyNumberFormat="1" applyFont="1" applyFill="1" applyAlignment="1">
      <alignment horizontal="center" vertical="center"/>
    </xf>
    <xf numFmtId="49" fontId="44" fillId="10" borderId="0" xfId="0" applyNumberFormat="1" applyFont="1" applyFill="1" applyAlignment="1">
      <alignment horizontal="center" vertical="center" wrapText="1"/>
    </xf>
    <xf numFmtId="0" fontId="47" fillId="10" borderId="0" xfId="0" applyFont="1" applyFill="1"/>
    <xf numFmtId="0" fontId="44" fillId="18" borderId="0" xfId="0" applyFont="1" applyFill="1" applyAlignment="1">
      <alignment horizontal="center"/>
    </xf>
    <xf numFmtId="0" fontId="49" fillId="10" borderId="72" xfId="0" applyFont="1" applyFill="1" applyBorder="1"/>
    <xf numFmtId="49" fontId="50" fillId="10" borderId="72" xfId="0" applyNumberFormat="1" applyFont="1" applyFill="1" applyBorder="1" applyAlignment="1">
      <alignment horizontal="center" vertical="center"/>
    </xf>
    <xf numFmtId="49" fontId="50" fillId="10" borderId="72" xfId="0" applyNumberFormat="1" applyFont="1" applyFill="1" applyBorder="1" applyAlignment="1">
      <alignment horizontal="center" vertical="center" wrapText="1"/>
    </xf>
    <xf numFmtId="3" fontId="44" fillId="10" borderId="72" xfId="0" applyNumberFormat="1" applyFont="1" applyFill="1" applyBorder="1" applyAlignment="1">
      <alignment horizontal="center"/>
    </xf>
    <xf numFmtId="3" fontId="51" fillId="10" borderId="72" xfId="0" applyNumberFormat="1" applyFont="1" applyFill="1" applyBorder="1" applyAlignment="1">
      <alignment horizontal="center"/>
    </xf>
    <xf numFmtId="0" fontId="51" fillId="10" borderId="72" xfId="0" applyFont="1" applyFill="1" applyBorder="1" applyAlignment="1">
      <alignment vertical="center"/>
    </xf>
    <xf numFmtId="0" fontId="44" fillId="15" borderId="73" xfId="0" applyFont="1" applyFill="1" applyBorder="1" applyAlignment="1">
      <alignment vertical="center" wrapText="1"/>
    </xf>
    <xf numFmtId="0" fontId="35" fillId="9" borderId="74" xfId="0" applyFont="1" applyFill="1" applyBorder="1" applyAlignment="1">
      <alignment vertical="center" wrapText="1"/>
    </xf>
    <xf numFmtId="49" fontId="35" fillId="9" borderId="75" xfId="0" applyNumberFormat="1" applyFont="1" applyFill="1" applyBorder="1" applyAlignment="1">
      <alignment horizontal="center" vertical="center"/>
    </xf>
    <xf numFmtId="49" fontId="35" fillId="9" borderId="75" xfId="0" applyNumberFormat="1" applyFont="1" applyFill="1" applyBorder="1" applyAlignment="1">
      <alignment horizontal="center" vertical="center" wrapText="1"/>
    </xf>
    <xf numFmtId="3" fontId="35" fillId="9" borderId="75" xfId="0" applyNumberFormat="1" applyFont="1" applyFill="1" applyBorder="1" applyAlignment="1">
      <alignment horizontal="right" vertical="center"/>
    </xf>
    <xf numFmtId="0" fontId="36" fillId="9" borderId="76" xfId="0" applyFont="1" applyFill="1" applyBorder="1" applyAlignment="1">
      <alignment horizontal="left" vertical="center"/>
    </xf>
    <xf numFmtId="49" fontId="44" fillId="10" borderId="59" xfId="0" applyNumberFormat="1" applyFont="1" applyFill="1" applyBorder="1" applyAlignment="1">
      <alignment horizontal="center" vertical="center" wrapText="1"/>
    </xf>
    <xf numFmtId="0" fontId="47" fillId="10" borderId="60" xfId="0" applyFont="1" applyFill="1" applyBorder="1" applyAlignment="1">
      <alignment horizontal="left" vertical="center"/>
    </xf>
    <xf numFmtId="0" fontId="35" fillId="9" borderId="57" xfId="0" applyFont="1" applyFill="1" applyBorder="1" applyAlignment="1">
      <alignment horizontal="left" vertical="center" wrapText="1"/>
    </xf>
    <xf numFmtId="0" fontId="47" fillId="0" borderId="57" xfId="0" applyFont="1" applyFill="1" applyBorder="1" applyAlignment="1">
      <alignment horizontal="left" vertical="center" wrapText="1"/>
    </xf>
    <xf numFmtId="0" fontId="35" fillId="9" borderId="57" xfId="0" applyFont="1" applyFill="1" applyBorder="1" applyAlignment="1">
      <alignment horizontal="left" vertical="center"/>
    </xf>
    <xf numFmtId="0" fontId="44" fillId="10" borderId="58" xfId="0" applyFont="1" applyFill="1" applyBorder="1" applyAlignment="1">
      <alignment horizontal="left" vertical="center"/>
    </xf>
    <xf numFmtId="3" fontId="44" fillId="10" borderId="59" xfId="0" applyNumberFormat="1" applyFont="1" applyFill="1" applyBorder="1" applyAlignment="1">
      <alignment horizontal="right" vertical="center"/>
    </xf>
    <xf numFmtId="0" fontId="44" fillId="10" borderId="59" xfId="0" applyFont="1" applyFill="1" applyBorder="1" applyAlignment="1">
      <alignment horizontal="right" vertical="center"/>
    </xf>
    <xf numFmtId="0" fontId="44" fillId="10" borderId="60" xfId="0" applyFont="1" applyFill="1" applyBorder="1" applyAlignment="1">
      <alignment horizontal="left" vertical="center"/>
    </xf>
    <xf numFmtId="0" fontId="35" fillId="9" borderId="61" xfId="0" applyFont="1" applyFill="1" applyBorder="1" applyAlignment="1">
      <alignment horizontal="left" vertical="center" wrapText="1"/>
    </xf>
    <xf numFmtId="49" fontId="35" fillId="9" borderId="63" xfId="0" applyNumberFormat="1" applyFont="1" applyFill="1" applyBorder="1" applyAlignment="1">
      <alignment horizontal="center" vertical="center"/>
    </xf>
    <xf numFmtId="49" fontId="35" fillId="9" borderId="63" xfId="0" applyNumberFormat="1" applyFont="1" applyFill="1" applyBorder="1" applyAlignment="1">
      <alignment horizontal="center" vertical="center" wrapText="1"/>
    </xf>
    <xf numFmtId="3" fontId="35" fillId="9" borderId="63" xfId="0" applyNumberFormat="1" applyFont="1" applyFill="1" applyBorder="1" applyAlignment="1">
      <alignment horizontal="right" vertical="center"/>
    </xf>
    <xf numFmtId="0" fontId="36" fillId="9" borderId="64" xfId="0" applyFont="1" applyFill="1" applyBorder="1" applyAlignment="1">
      <alignment horizontal="left" vertical="center"/>
    </xf>
    <xf numFmtId="0" fontId="44" fillId="15" borderId="77" xfId="0" applyFont="1" applyFill="1" applyBorder="1" applyAlignment="1">
      <alignment horizontal="left" vertical="center" wrapText="1"/>
    </xf>
    <xf numFmtId="49" fontId="44" fillId="15" borderId="78" xfId="0" applyNumberFormat="1" applyFont="1" applyFill="1" applyBorder="1" applyAlignment="1">
      <alignment horizontal="center" vertical="center" wrapText="1"/>
    </xf>
    <xf numFmtId="3" fontId="44" fillId="15" borderId="79" xfId="0" applyNumberFormat="1" applyFont="1" applyFill="1" applyBorder="1" applyAlignment="1">
      <alignment horizontal="center" vertical="center" wrapText="1"/>
    </xf>
    <xf numFmtId="0" fontId="44" fillId="15" borderId="80" xfId="0" applyFont="1" applyFill="1" applyBorder="1" applyAlignment="1">
      <alignment horizontal="center" vertical="center"/>
    </xf>
    <xf numFmtId="49" fontId="35" fillId="9" borderId="70" xfId="0" applyNumberFormat="1" applyFont="1" applyFill="1" applyBorder="1" applyAlignment="1">
      <alignment horizontal="left" vertical="center" wrapText="1"/>
    </xf>
    <xf numFmtId="49" fontId="35" fillId="9" borderId="81" xfId="0" applyNumberFormat="1" applyFont="1" applyFill="1" applyBorder="1" applyAlignment="1">
      <alignment horizontal="center" vertical="center"/>
    </xf>
    <xf numFmtId="0" fontId="35" fillId="9" borderId="82" xfId="0" applyFont="1" applyFill="1" applyBorder="1" applyAlignment="1">
      <alignment horizontal="left" vertical="center" wrapText="1"/>
    </xf>
    <xf numFmtId="0" fontId="0" fillId="0" borderId="83" xfId="0" applyBorder="1" applyAlignment="1">
      <alignment wrapText="1"/>
    </xf>
    <xf numFmtId="0" fontId="0" fillId="0" borderId="0" xfId="0" applyBorder="1"/>
    <xf numFmtId="0" fontId="0" fillId="0" borderId="84" xfId="0" applyBorder="1"/>
    <xf numFmtId="0" fontId="35" fillId="9" borderId="71" xfId="0" applyFont="1" applyFill="1" applyBorder="1" applyAlignment="1">
      <alignment horizontal="left" vertical="center" wrapText="1"/>
    </xf>
    <xf numFmtId="0" fontId="36" fillId="9" borderId="71" xfId="0" applyFont="1" applyFill="1" applyBorder="1" applyAlignment="1">
      <alignment horizontal="left" vertical="center"/>
    </xf>
    <xf numFmtId="0" fontId="52" fillId="0" borderId="0" xfId="0" applyFont="1" applyBorder="1"/>
    <xf numFmtId="0" fontId="35" fillId="9" borderId="85" xfId="0" applyFont="1" applyFill="1" applyBorder="1" applyAlignment="1">
      <alignment horizontal="left" vertical="center" wrapText="1"/>
    </xf>
    <xf numFmtId="49" fontId="35" fillId="9" borderId="86" xfId="0" applyNumberFormat="1" applyFont="1" applyFill="1" applyBorder="1" applyAlignment="1">
      <alignment horizontal="center" vertical="center"/>
    </xf>
    <xf numFmtId="3" fontId="35" fillId="9" borderId="86" xfId="0" applyNumberFormat="1" applyFont="1" applyFill="1" applyBorder="1" applyAlignment="1">
      <alignment horizontal="right" vertical="center"/>
    </xf>
    <xf numFmtId="0" fontId="36" fillId="9" borderId="87" xfId="0" applyFont="1" applyFill="1" applyBorder="1" applyAlignment="1">
      <alignment horizontal="left" vertical="center"/>
    </xf>
    <xf numFmtId="0" fontId="14" fillId="9" borderId="88" xfId="0" applyFont="1" applyFill="1" applyBorder="1" applyAlignment="1" applyProtection="1">
      <alignment vertical="center" wrapText="1"/>
    </xf>
    <xf numFmtId="49" fontId="14" fillId="9" borderId="89" xfId="0" applyNumberFormat="1" applyFont="1" applyFill="1" applyBorder="1" applyAlignment="1" applyProtection="1">
      <alignment horizontal="center" vertical="center" wrapText="1"/>
    </xf>
    <xf numFmtId="0" fontId="14" fillId="9" borderId="89" xfId="0" applyFont="1" applyFill="1" applyBorder="1" applyAlignment="1" applyProtection="1">
      <alignment horizontal="center" vertical="center" wrapText="1"/>
    </xf>
    <xf numFmtId="3" fontId="14" fillId="9" borderId="89" xfId="0" applyNumberFormat="1" applyFont="1" applyFill="1" applyBorder="1" applyAlignment="1" applyProtection="1">
      <alignment vertical="center" wrapText="1"/>
    </xf>
    <xf numFmtId="0" fontId="35" fillId="9" borderId="90" xfId="0" applyFont="1" applyFill="1" applyBorder="1" applyAlignment="1" applyProtection="1">
      <alignment vertical="center" wrapText="1"/>
    </xf>
    <xf numFmtId="164" fontId="53" fillId="0" borderId="0" xfId="4" applyFont="1" applyAlignment="1">
      <alignment horizontal="right"/>
    </xf>
    <xf numFmtId="0" fontId="53" fillId="0" borderId="0" xfId="0" applyFont="1" applyAlignment="1">
      <alignment horizontal="right"/>
    </xf>
    <xf numFmtId="0" fontId="2" fillId="0" borderId="0" xfId="0" applyFont="1"/>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21" fillId="10" borderId="0" xfId="0" applyFont="1" applyFill="1" applyAlignment="1">
      <alignment horizontal="left" wrapText="1"/>
    </xf>
    <xf numFmtId="0" fontId="44" fillId="18" borderId="0" xfId="0" applyFont="1" applyFill="1" applyAlignment="1">
      <alignment horizontal="center"/>
    </xf>
    <xf numFmtId="0" fontId="3" fillId="0" borderId="0" xfId="0" applyFont="1" applyAlignment="1">
      <alignment horizontal="left" vertical="top" wrapText="1"/>
    </xf>
    <xf numFmtId="0" fontId="3" fillId="0" borderId="0" xfId="0" applyFont="1" applyAlignment="1">
      <alignment horizontal="left" vertical="top"/>
    </xf>
    <xf numFmtId="3" fontId="51" fillId="9" borderId="56" xfId="0" applyNumberFormat="1" applyFont="1" applyFill="1" applyBorder="1" applyAlignment="1">
      <alignment horizontal="right" vertical="center"/>
    </xf>
  </cellXfs>
  <cellStyles count="5">
    <cellStyle name="Comma" xfId="4" builtinId="3"/>
    <cellStyle name="Hyperlink 2" xfId="2" xr:uid="{00000000-0005-0000-0000-000001000000}"/>
    <cellStyle name="Normal" xfId="0" builtinId="0"/>
    <cellStyle name="Normal 2" xfId="3" xr:uid="{00000000-0005-0000-0000-000003000000}"/>
    <cellStyle name="Style 1" xfId="1" xr:uid="{00000000-0005-0000-0000-000004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K1" sqref="K1"/>
    </sheetView>
  </sheetViews>
  <sheetFormatPr defaultRowHeight="12.75" x14ac:dyDescent="0.2"/>
  <cols>
    <col min="1" max="1" width="12.42578125" customWidth="1"/>
    <col min="2" max="2" width="9.140625" customWidth="1"/>
    <col min="9" max="9" width="12.7109375" customWidth="1"/>
  </cols>
  <sheetData>
    <row r="1" spans="1:10" ht="15.75" x14ac:dyDescent="0.2">
      <c r="A1" s="238"/>
      <c r="B1" s="239"/>
      <c r="C1" s="239"/>
      <c r="D1" s="29"/>
      <c r="E1" s="29"/>
      <c r="F1" s="29"/>
      <c r="G1" s="29"/>
      <c r="H1" s="29"/>
      <c r="I1" s="29"/>
      <c r="J1" s="30"/>
    </row>
    <row r="2" spans="1:10" ht="14.45" customHeight="1" x14ac:dyDescent="0.2">
      <c r="A2" s="240" t="s">
        <v>0</v>
      </c>
      <c r="B2" s="241"/>
      <c r="C2" s="241"/>
      <c r="D2" s="241"/>
      <c r="E2" s="241"/>
      <c r="F2" s="241"/>
      <c r="G2" s="241"/>
      <c r="H2" s="241"/>
      <c r="I2" s="241"/>
      <c r="J2" s="242"/>
    </row>
    <row r="3" spans="1:10" ht="15" x14ac:dyDescent="0.2">
      <c r="A3" s="84"/>
      <c r="B3" s="85"/>
      <c r="C3" s="85"/>
      <c r="D3" s="85"/>
      <c r="E3" s="85"/>
      <c r="F3" s="85"/>
      <c r="G3" s="85"/>
      <c r="H3" s="85"/>
      <c r="I3" s="85"/>
      <c r="J3" s="86"/>
    </row>
    <row r="4" spans="1:10" ht="33.6" customHeight="1" x14ac:dyDescent="0.2">
      <c r="A4" s="243" t="s">
        <v>1</v>
      </c>
      <c r="B4" s="244"/>
      <c r="C4" s="244"/>
      <c r="D4" s="244"/>
      <c r="E4" s="245">
        <v>44562</v>
      </c>
      <c r="F4" s="246"/>
      <c r="G4" s="92" t="s">
        <v>2</v>
      </c>
      <c r="H4" s="245">
        <v>44926</v>
      </c>
      <c r="I4" s="246"/>
      <c r="J4" s="31"/>
    </row>
    <row r="5" spans="1:10" s="97" customFormat="1" ht="10.15" customHeight="1" x14ac:dyDescent="0.25">
      <c r="A5" s="247"/>
      <c r="B5" s="248"/>
      <c r="C5" s="248"/>
      <c r="D5" s="248"/>
      <c r="E5" s="248"/>
      <c r="F5" s="248"/>
      <c r="G5" s="248"/>
      <c r="H5" s="248"/>
      <c r="I5" s="248"/>
      <c r="J5" s="249"/>
    </row>
    <row r="6" spans="1:10" ht="20.45" customHeight="1" x14ac:dyDescent="0.2">
      <c r="A6" s="87"/>
      <c r="B6" s="98" t="s">
        <v>3</v>
      </c>
      <c r="C6" s="88"/>
      <c r="D6" s="88"/>
      <c r="E6" s="110">
        <v>2022</v>
      </c>
      <c r="F6" s="99"/>
      <c r="G6" s="92"/>
      <c r="H6" s="99"/>
      <c r="I6" s="99"/>
      <c r="J6" s="40"/>
    </row>
    <row r="7" spans="1:10" s="101" customFormat="1" ht="10.9" customHeight="1" x14ac:dyDescent="0.2">
      <c r="A7" s="87"/>
      <c r="B7" s="88"/>
      <c r="C7" s="88"/>
      <c r="D7" s="88"/>
      <c r="E7" s="100"/>
      <c r="F7" s="100"/>
      <c r="G7" s="92"/>
      <c r="H7" s="100"/>
      <c r="I7" s="100"/>
      <c r="J7" s="40"/>
    </row>
    <row r="8" spans="1:10" ht="37.9" customHeight="1" x14ac:dyDescent="0.2">
      <c r="A8" s="252" t="s">
        <v>4</v>
      </c>
      <c r="B8" s="253"/>
      <c r="C8" s="253"/>
      <c r="D8" s="253"/>
      <c r="E8" s="253"/>
      <c r="F8" s="253"/>
      <c r="G8" s="253"/>
      <c r="H8" s="253"/>
      <c r="I8" s="253"/>
      <c r="J8" s="32"/>
    </row>
    <row r="9" spans="1:10" ht="14.25" x14ac:dyDescent="0.2">
      <c r="A9" s="33"/>
      <c r="B9" s="80"/>
      <c r="C9" s="80"/>
      <c r="D9" s="80"/>
      <c r="E9" s="251"/>
      <c r="F9" s="251"/>
      <c r="G9" s="224"/>
      <c r="H9" s="224"/>
      <c r="I9" s="90"/>
      <c r="J9" s="91"/>
    </row>
    <row r="10" spans="1:10" ht="25.9" customHeight="1" x14ac:dyDescent="0.2">
      <c r="A10" s="254" t="s">
        <v>5</v>
      </c>
      <c r="B10" s="255"/>
      <c r="C10" s="256" t="s">
        <v>498</v>
      </c>
      <c r="D10" s="257"/>
      <c r="E10" s="82"/>
      <c r="F10" s="226" t="s">
        <v>6</v>
      </c>
      <c r="G10" s="258"/>
      <c r="H10" s="259" t="s">
        <v>499</v>
      </c>
      <c r="I10" s="260"/>
      <c r="J10" s="34"/>
    </row>
    <row r="11" spans="1:10" ht="15.6" customHeight="1" x14ac:dyDescent="0.2">
      <c r="A11" s="33"/>
      <c r="B11" s="80"/>
      <c r="C11" s="80"/>
      <c r="D11" s="80"/>
      <c r="E11" s="250"/>
      <c r="F11" s="250"/>
      <c r="G11" s="250"/>
      <c r="H11" s="250"/>
      <c r="I11" s="83"/>
      <c r="J11" s="34"/>
    </row>
    <row r="12" spans="1:10" ht="21" customHeight="1" x14ac:dyDescent="0.2">
      <c r="A12" s="225" t="s">
        <v>7</v>
      </c>
      <c r="B12" s="255"/>
      <c r="C12" s="256" t="s">
        <v>500</v>
      </c>
      <c r="D12" s="257"/>
      <c r="E12" s="263"/>
      <c r="F12" s="250"/>
      <c r="G12" s="250"/>
      <c r="H12" s="250"/>
      <c r="I12" s="83"/>
      <c r="J12" s="34"/>
    </row>
    <row r="13" spans="1:10" ht="10.9" customHeight="1" x14ac:dyDescent="0.2">
      <c r="A13" s="82"/>
      <c r="B13" s="83"/>
      <c r="C13" s="80"/>
      <c r="D13" s="80"/>
      <c r="E13" s="224"/>
      <c r="F13" s="224"/>
      <c r="G13" s="224"/>
      <c r="H13" s="224"/>
      <c r="I13" s="80"/>
      <c r="J13" s="35"/>
    </row>
    <row r="14" spans="1:10" ht="22.9" customHeight="1" x14ac:dyDescent="0.2">
      <c r="A14" s="225" t="s">
        <v>8</v>
      </c>
      <c r="B14" s="258"/>
      <c r="C14" s="256" t="s">
        <v>501</v>
      </c>
      <c r="D14" s="257"/>
      <c r="E14" s="261"/>
      <c r="F14" s="262"/>
      <c r="G14" s="96" t="s">
        <v>9</v>
      </c>
      <c r="H14" s="256" t="s">
        <v>503</v>
      </c>
      <c r="I14" s="257"/>
      <c r="J14" s="93"/>
    </row>
    <row r="15" spans="1:10" ht="14.45" customHeight="1" x14ac:dyDescent="0.2">
      <c r="A15" s="82"/>
      <c r="B15" s="83"/>
      <c r="C15" s="80"/>
      <c r="D15" s="80"/>
      <c r="E15" s="224"/>
      <c r="F15" s="224"/>
      <c r="G15" s="224"/>
      <c r="H15" s="224"/>
      <c r="I15" s="80"/>
      <c r="J15" s="35"/>
    </row>
    <row r="16" spans="1:10" ht="13.15" customHeight="1" x14ac:dyDescent="0.2">
      <c r="A16" s="225" t="s">
        <v>10</v>
      </c>
      <c r="B16" s="258"/>
      <c r="C16" s="256" t="s">
        <v>502</v>
      </c>
      <c r="D16" s="257"/>
      <c r="E16" s="89"/>
      <c r="F16" s="89"/>
      <c r="G16" s="89"/>
      <c r="H16" s="89"/>
      <c r="I16" s="89"/>
      <c r="J16" s="93"/>
    </row>
    <row r="17" spans="1:10" ht="14.45" customHeight="1" x14ac:dyDescent="0.2">
      <c r="A17" s="264"/>
      <c r="B17" s="265"/>
      <c r="C17" s="265"/>
      <c r="D17" s="265"/>
      <c r="E17" s="265"/>
      <c r="F17" s="265"/>
      <c r="G17" s="265"/>
      <c r="H17" s="265"/>
      <c r="I17" s="265"/>
      <c r="J17" s="266"/>
    </row>
    <row r="18" spans="1:10" x14ac:dyDescent="0.2">
      <c r="A18" s="254" t="s">
        <v>11</v>
      </c>
      <c r="B18" s="255"/>
      <c r="C18" s="267" t="s">
        <v>504</v>
      </c>
      <c r="D18" s="268"/>
      <c r="E18" s="268"/>
      <c r="F18" s="268"/>
      <c r="G18" s="268"/>
      <c r="H18" s="268"/>
      <c r="I18" s="268"/>
      <c r="J18" s="269"/>
    </row>
    <row r="19" spans="1:10" ht="14.25" x14ac:dyDescent="0.2">
      <c r="A19" s="33"/>
      <c r="B19" s="80"/>
      <c r="C19" s="95"/>
      <c r="D19" s="80"/>
      <c r="E19" s="224"/>
      <c r="F19" s="224"/>
      <c r="G19" s="224"/>
      <c r="H19" s="224"/>
      <c r="I19" s="80"/>
      <c r="J19" s="35"/>
    </row>
    <row r="20" spans="1:10" ht="14.25" x14ac:dyDescent="0.2">
      <c r="A20" s="254" t="s">
        <v>12</v>
      </c>
      <c r="B20" s="255"/>
      <c r="C20" s="259">
        <v>52440</v>
      </c>
      <c r="D20" s="260"/>
      <c r="E20" s="224"/>
      <c r="F20" s="224"/>
      <c r="G20" s="267" t="s">
        <v>505</v>
      </c>
      <c r="H20" s="268"/>
      <c r="I20" s="268"/>
      <c r="J20" s="269"/>
    </row>
    <row r="21" spans="1:10" ht="14.25" x14ac:dyDescent="0.2">
      <c r="A21" s="33"/>
      <c r="B21" s="80"/>
      <c r="C21" s="80"/>
      <c r="D21" s="80"/>
      <c r="E21" s="224"/>
      <c r="F21" s="224"/>
      <c r="G21" s="224"/>
      <c r="H21" s="224"/>
      <c r="I21" s="80"/>
      <c r="J21" s="35"/>
    </row>
    <row r="22" spans="1:10" x14ac:dyDescent="0.2">
      <c r="A22" s="254" t="s">
        <v>13</v>
      </c>
      <c r="B22" s="255"/>
      <c r="C22" s="267" t="s">
        <v>506</v>
      </c>
      <c r="D22" s="268"/>
      <c r="E22" s="268"/>
      <c r="F22" s="268"/>
      <c r="G22" s="268"/>
      <c r="H22" s="268"/>
      <c r="I22" s="268"/>
      <c r="J22" s="269"/>
    </row>
    <row r="23" spans="1:10" ht="14.25" x14ac:dyDescent="0.2">
      <c r="A23" s="33"/>
      <c r="B23" s="80"/>
      <c r="C23" s="80"/>
      <c r="D23" s="80"/>
      <c r="E23" s="224"/>
      <c r="F23" s="224"/>
      <c r="G23" s="224"/>
      <c r="H23" s="224"/>
      <c r="I23" s="80"/>
      <c r="J23" s="35"/>
    </row>
    <row r="24" spans="1:10" ht="14.25" x14ac:dyDescent="0.2">
      <c r="A24" s="254" t="s">
        <v>14</v>
      </c>
      <c r="B24" s="255"/>
      <c r="C24" s="270" t="s">
        <v>507</v>
      </c>
      <c r="D24" s="271"/>
      <c r="E24" s="271"/>
      <c r="F24" s="271"/>
      <c r="G24" s="271"/>
      <c r="H24" s="271"/>
      <c r="I24" s="271"/>
      <c r="J24" s="272"/>
    </row>
    <row r="25" spans="1:10" ht="14.25" x14ac:dyDescent="0.2">
      <c r="A25" s="33"/>
      <c r="B25" s="80"/>
      <c r="C25" s="95"/>
      <c r="D25" s="80"/>
      <c r="E25" s="224"/>
      <c r="F25" s="224"/>
      <c r="G25" s="224"/>
      <c r="H25" s="224"/>
      <c r="I25" s="80"/>
      <c r="J25" s="35"/>
    </row>
    <row r="26" spans="1:10" ht="14.25" x14ac:dyDescent="0.2">
      <c r="A26" s="254" t="s">
        <v>15</v>
      </c>
      <c r="B26" s="255"/>
      <c r="C26" s="270" t="s">
        <v>508</v>
      </c>
      <c r="D26" s="271"/>
      <c r="E26" s="271"/>
      <c r="F26" s="271"/>
      <c r="G26" s="271"/>
      <c r="H26" s="271"/>
      <c r="I26" s="271"/>
      <c r="J26" s="272"/>
    </row>
    <row r="27" spans="1:10" ht="13.9" customHeight="1" x14ac:dyDescent="0.2">
      <c r="A27" s="33"/>
      <c r="B27" s="80"/>
      <c r="C27" s="95"/>
      <c r="D27" s="80"/>
      <c r="E27" s="224"/>
      <c r="F27" s="224"/>
      <c r="G27" s="224"/>
      <c r="H27" s="224"/>
      <c r="I27" s="80"/>
      <c r="J27" s="35"/>
    </row>
    <row r="28" spans="1:10" ht="22.9" customHeight="1" x14ac:dyDescent="0.2">
      <c r="A28" s="225" t="s">
        <v>16</v>
      </c>
      <c r="B28" s="255"/>
      <c r="C28" s="60">
        <v>2460</v>
      </c>
      <c r="D28" s="36"/>
      <c r="E28" s="232"/>
      <c r="F28" s="232"/>
      <c r="G28" s="232"/>
      <c r="H28" s="232"/>
      <c r="I28" s="273"/>
      <c r="J28" s="274"/>
    </row>
    <row r="29" spans="1:10" ht="14.25" x14ac:dyDescent="0.2">
      <c r="A29" s="33"/>
      <c r="B29" s="80"/>
      <c r="C29" s="80"/>
      <c r="D29" s="80"/>
      <c r="E29" s="224"/>
      <c r="F29" s="224"/>
      <c r="G29" s="224"/>
      <c r="H29" s="224"/>
      <c r="I29" s="80"/>
      <c r="J29" s="35"/>
    </row>
    <row r="30" spans="1:10" ht="15" x14ac:dyDescent="0.2">
      <c r="A30" s="254" t="s">
        <v>17</v>
      </c>
      <c r="B30" s="255"/>
      <c r="C30" s="109" t="s">
        <v>509</v>
      </c>
      <c r="D30" s="275" t="s">
        <v>18</v>
      </c>
      <c r="E30" s="236"/>
      <c r="F30" s="236"/>
      <c r="G30" s="236"/>
      <c r="H30" s="102" t="s">
        <v>19</v>
      </c>
      <c r="I30" s="103" t="s">
        <v>20</v>
      </c>
      <c r="J30" s="104"/>
    </row>
    <row r="31" spans="1:10" x14ac:dyDescent="0.2">
      <c r="A31" s="254"/>
      <c r="B31" s="255"/>
      <c r="C31" s="37"/>
      <c r="D31" s="92"/>
      <c r="E31" s="262"/>
      <c r="F31" s="262"/>
      <c r="G31" s="262"/>
      <c r="H31" s="262"/>
      <c r="I31" s="276"/>
      <c r="J31" s="277"/>
    </row>
    <row r="32" spans="1:10" x14ac:dyDescent="0.2">
      <c r="A32" s="254" t="s">
        <v>21</v>
      </c>
      <c r="B32" s="255"/>
      <c r="C32" s="60" t="s">
        <v>510</v>
      </c>
      <c r="D32" s="275" t="s">
        <v>22</v>
      </c>
      <c r="E32" s="236"/>
      <c r="F32" s="236"/>
      <c r="G32" s="236"/>
      <c r="H32" s="105" t="s">
        <v>23</v>
      </c>
      <c r="I32" s="106" t="s">
        <v>24</v>
      </c>
      <c r="J32" s="107"/>
    </row>
    <row r="33" spans="1:10" ht="14.25" x14ac:dyDescent="0.2">
      <c r="A33" s="33"/>
      <c r="B33" s="80"/>
      <c r="C33" s="80"/>
      <c r="D33" s="80"/>
      <c r="E33" s="224"/>
      <c r="F33" s="224"/>
      <c r="G33" s="224"/>
      <c r="H33" s="224"/>
      <c r="I33" s="80"/>
      <c r="J33" s="35"/>
    </row>
    <row r="34" spans="1:10" x14ac:dyDescent="0.2">
      <c r="A34" s="275" t="s">
        <v>25</v>
      </c>
      <c r="B34" s="236"/>
      <c r="C34" s="236"/>
      <c r="D34" s="236"/>
      <c r="E34" s="236" t="s">
        <v>26</v>
      </c>
      <c r="F34" s="236"/>
      <c r="G34" s="236"/>
      <c r="H34" s="236"/>
      <c r="I34" s="236"/>
      <c r="J34" s="38" t="s">
        <v>27</v>
      </c>
    </row>
    <row r="35" spans="1:10" ht="14.25" x14ac:dyDescent="0.2">
      <c r="A35" s="33"/>
      <c r="B35" s="80"/>
      <c r="C35" s="80"/>
      <c r="D35" s="80"/>
      <c r="E35" s="224"/>
      <c r="F35" s="224"/>
      <c r="G35" s="224"/>
      <c r="H35" s="224"/>
      <c r="I35" s="80"/>
      <c r="J35" s="91"/>
    </row>
    <row r="36" spans="1:10" x14ac:dyDescent="0.2">
      <c r="A36" s="278"/>
      <c r="B36" s="279"/>
      <c r="C36" s="279"/>
      <c r="D36" s="279"/>
      <c r="E36" s="278"/>
      <c r="F36" s="279"/>
      <c r="G36" s="279"/>
      <c r="H36" s="279"/>
      <c r="I36" s="281"/>
      <c r="J36" s="81"/>
    </row>
    <row r="37" spans="1:10" ht="14.25" x14ac:dyDescent="0.2">
      <c r="A37" s="33"/>
      <c r="B37" s="80"/>
      <c r="C37" s="95"/>
      <c r="D37" s="283"/>
      <c r="E37" s="283"/>
      <c r="F37" s="283"/>
      <c r="G37" s="283"/>
      <c r="H37" s="283"/>
      <c r="I37" s="283"/>
      <c r="J37" s="35"/>
    </row>
    <row r="38" spans="1:10" x14ac:dyDescent="0.2">
      <c r="A38" s="278"/>
      <c r="B38" s="279"/>
      <c r="C38" s="279"/>
      <c r="D38" s="281"/>
      <c r="E38" s="278"/>
      <c r="F38" s="279"/>
      <c r="G38" s="279"/>
      <c r="H38" s="279"/>
      <c r="I38" s="281"/>
      <c r="J38" s="60"/>
    </row>
    <row r="39" spans="1:10" ht="14.25" x14ac:dyDescent="0.2">
      <c r="A39" s="33"/>
      <c r="B39" s="80"/>
      <c r="C39" s="95"/>
      <c r="D39" s="94"/>
      <c r="E39" s="283"/>
      <c r="F39" s="283"/>
      <c r="G39" s="283"/>
      <c r="H39" s="283"/>
      <c r="I39" s="83"/>
      <c r="J39" s="35"/>
    </row>
    <row r="40" spans="1:10" x14ac:dyDescent="0.2">
      <c r="A40" s="278"/>
      <c r="B40" s="279"/>
      <c r="C40" s="279"/>
      <c r="D40" s="281"/>
      <c r="E40" s="278"/>
      <c r="F40" s="279"/>
      <c r="G40" s="279"/>
      <c r="H40" s="279"/>
      <c r="I40" s="281"/>
      <c r="J40" s="60"/>
    </row>
    <row r="41" spans="1:10" ht="14.25" x14ac:dyDescent="0.2">
      <c r="A41" s="33"/>
      <c r="B41" s="80"/>
      <c r="C41" s="95"/>
      <c r="D41" s="94"/>
      <c r="E41" s="283"/>
      <c r="F41" s="283"/>
      <c r="G41" s="283"/>
      <c r="H41" s="283"/>
      <c r="I41" s="83"/>
      <c r="J41" s="35"/>
    </row>
    <row r="42" spans="1:10" x14ac:dyDescent="0.2">
      <c r="A42" s="278"/>
      <c r="B42" s="279"/>
      <c r="C42" s="279"/>
      <c r="D42" s="281"/>
      <c r="E42" s="278"/>
      <c r="F42" s="279"/>
      <c r="G42" s="279"/>
      <c r="H42" s="279"/>
      <c r="I42" s="281"/>
      <c r="J42" s="60"/>
    </row>
    <row r="43" spans="1:10" ht="14.25" x14ac:dyDescent="0.2">
      <c r="A43" s="39"/>
      <c r="B43" s="95"/>
      <c r="C43" s="282"/>
      <c r="D43" s="282"/>
      <c r="E43" s="224"/>
      <c r="F43" s="224"/>
      <c r="G43" s="282"/>
      <c r="H43" s="282"/>
      <c r="I43" s="282"/>
      <c r="J43" s="35"/>
    </row>
    <row r="44" spans="1:10" x14ac:dyDescent="0.2">
      <c r="A44" s="278"/>
      <c r="B44" s="279"/>
      <c r="C44" s="279"/>
      <c r="D44" s="281"/>
      <c r="E44" s="278"/>
      <c r="F44" s="279"/>
      <c r="G44" s="279"/>
      <c r="H44" s="279"/>
      <c r="I44" s="281"/>
      <c r="J44" s="60"/>
    </row>
    <row r="45" spans="1:10" ht="14.25" x14ac:dyDescent="0.2">
      <c r="A45" s="39"/>
      <c r="B45" s="95"/>
      <c r="C45" s="95"/>
      <c r="D45" s="80"/>
      <c r="E45" s="280"/>
      <c r="F45" s="280"/>
      <c r="G45" s="282"/>
      <c r="H45" s="282"/>
      <c r="I45" s="80"/>
      <c r="J45" s="35"/>
    </row>
    <row r="46" spans="1:10" x14ac:dyDescent="0.2">
      <c r="A46" s="278"/>
      <c r="B46" s="279"/>
      <c r="C46" s="279"/>
      <c r="D46" s="281"/>
      <c r="E46" s="278"/>
      <c r="F46" s="279"/>
      <c r="G46" s="279"/>
      <c r="H46" s="279"/>
      <c r="I46" s="281"/>
      <c r="J46" s="60"/>
    </row>
    <row r="47" spans="1:10" ht="14.25" x14ac:dyDescent="0.2">
      <c r="A47" s="39"/>
      <c r="B47" s="95"/>
      <c r="C47" s="95"/>
      <c r="D47" s="80"/>
      <c r="E47" s="224"/>
      <c r="F47" s="224"/>
      <c r="G47" s="282"/>
      <c r="H47" s="282"/>
      <c r="I47" s="80"/>
      <c r="J47" s="108" t="s">
        <v>28</v>
      </c>
    </row>
    <row r="48" spans="1:10" ht="14.25" x14ac:dyDescent="0.2">
      <c r="A48" s="39"/>
      <c r="B48" s="95"/>
      <c r="C48" s="95"/>
      <c r="D48" s="80"/>
      <c r="E48" s="224"/>
      <c r="F48" s="224"/>
      <c r="G48" s="282"/>
      <c r="H48" s="282"/>
      <c r="I48" s="80"/>
      <c r="J48" s="108" t="s">
        <v>29</v>
      </c>
    </row>
    <row r="49" spans="1:10" ht="14.45" customHeight="1" x14ac:dyDescent="0.2">
      <c r="A49" s="225" t="s">
        <v>30</v>
      </c>
      <c r="B49" s="226"/>
      <c r="C49" s="259" t="s">
        <v>511</v>
      </c>
      <c r="D49" s="260"/>
      <c r="E49" s="284" t="s">
        <v>31</v>
      </c>
      <c r="F49" s="285"/>
      <c r="G49" s="267"/>
      <c r="H49" s="268"/>
      <c r="I49" s="268"/>
      <c r="J49" s="269"/>
    </row>
    <row r="50" spans="1:10" ht="14.25" x14ac:dyDescent="0.2">
      <c r="A50" s="39"/>
      <c r="B50" s="95"/>
      <c r="C50" s="282"/>
      <c r="D50" s="282"/>
      <c r="E50" s="224"/>
      <c r="F50" s="224"/>
      <c r="G50" s="230" t="s">
        <v>32</v>
      </c>
      <c r="H50" s="230"/>
      <c r="I50" s="230"/>
      <c r="J50" s="40"/>
    </row>
    <row r="51" spans="1:10" ht="13.9" customHeight="1" x14ac:dyDescent="0.2">
      <c r="A51" s="225" t="s">
        <v>33</v>
      </c>
      <c r="B51" s="226"/>
      <c r="C51" s="267" t="s">
        <v>512</v>
      </c>
      <c r="D51" s="268"/>
      <c r="E51" s="268"/>
      <c r="F51" s="268"/>
      <c r="G51" s="268"/>
      <c r="H51" s="268"/>
      <c r="I51" s="268"/>
      <c r="J51" s="269"/>
    </row>
    <row r="52" spans="1:10" ht="14.25" x14ac:dyDescent="0.2">
      <c r="A52" s="33"/>
      <c r="B52" s="80"/>
      <c r="C52" s="232" t="s">
        <v>34</v>
      </c>
      <c r="D52" s="232"/>
      <c r="E52" s="232"/>
      <c r="F52" s="232"/>
      <c r="G52" s="232"/>
      <c r="H52" s="232"/>
      <c r="I52" s="232"/>
      <c r="J52" s="35"/>
    </row>
    <row r="53" spans="1:10" ht="14.25" x14ac:dyDescent="0.2">
      <c r="A53" s="225" t="s">
        <v>35</v>
      </c>
      <c r="B53" s="226"/>
      <c r="C53" s="233" t="s">
        <v>513</v>
      </c>
      <c r="D53" s="234"/>
      <c r="E53" s="235"/>
      <c r="F53" s="224"/>
      <c r="G53" s="224"/>
      <c r="H53" s="236"/>
      <c r="I53" s="236"/>
      <c r="J53" s="237"/>
    </row>
    <row r="54" spans="1:10" ht="14.25" x14ac:dyDescent="0.2">
      <c r="A54" s="33"/>
      <c r="B54" s="80"/>
      <c r="C54" s="95"/>
      <c r="D54" s="80"/>
      <c r="E54" s="224"/>
      <c r="F54" s="224"/>
      <c r="G54" s="224"/>
      <c r="H54" s="224"/>
      <c r="I54" s="80"/>
      <c r="J54" s="35"/>
    </row>
    <row r="55" spans="1:10" ht="14.45" customHeight="1" x14ac:dyDescent="0.2">
      <c r="A55" s="225" t="s">
        <v>36</v>
      </c>
      <c r="B55" s="226"/>
      <c r="C55" s="227" t="s">
        <v>514</v>
      </c>
      <c r="D55" s="228"/>
      <c r="E55" s="228"/>
      <c r="F55" s="228"/>
      <c r="G55" s="228"/>
      <c r="H55" s="228"/>
      <c r="I55" s="228"/>
      <c r="J55" s="229"/>
    </row>
    <row r="56" spans="1:10" ht="14.25" x14ac:dyDescent="0.2">
      <c r="A56" s="33"/>
      <c r="B56" s="80"/>
      <c r="C56" s="80"/>
      <c r="D56" s="80"/>
      <c r="E56" s="224"/>
      <c r="F56" s="224"/>
      <c r="G56" s="224"/>
      <c r="H56" s="224"/>
      <c r="I56" s="80"/>
      <c r="J56" s="35"/>
    </row>
    <row r="57" spans="1:10" ht="14.25" x14ac:dyDescent="0.2">
      <c r="A57" s="225" t="s">
        <v>37</v>
      </c>
      <c r="B57" s="226"/>
      <c r="C57" s="227" t="s">
        <v>515</v>
      </c>
      <c r="D57" s="228"/>
      <c r="E57" s="228"/>
      <c r="F57" s="228"/>
      <c r="G57" s="228"/>
      <c r="H57" s="228"/>
      <c r="I57" s="228"/>
      <c r="J57" s="229"/>
    </row>
    <row r="58" spans="1:10" ht="14.45" customHeight="1" x14ac:dyDescent="0.2">
      <c r="A58" s="33"/>
      <c r="B58" s="80"/>
      <c r="C58" s="230" t="s">
        <v>38</v>
      </c>
      <c r="D58" s="230"/>
      <c r="E58" s="230"/>
      <c r="F58" s="230"/>
      <c r="G58" s="80"/>
      <c r="H58" s="80"/>
      <c r="I58" s="80"/>
      <c r="J58" s="35"/>
    </row>
    <row r="59" spans="1:10" ht="14.25" x14ac:dyDescent="0.2">
      <c r="A59" s="225" t="s">
        <v>39</v>
      </c>
      <c r="B59" s="226"/>
      <c r="C59" s="227" t="s">
        <v>516</v>
      </c>
      <c r="D59" s="228"/>
      <c r="E59" s="228"/>
      <c r="F59" s="228"/>
      <c r="G59" s="228"/>
      <c r="H59" s="228"/>
      <c r="I59" s="228"/>
      <c r="J59" s="229"/>
    </row>
    <row r="60" spans="1:10" ht="14.45" customHeight="1" x14ac:dyDescent="0.2">
      <c r="A60" s="41"/>
      <c r="B60" s="42"/>
      <c r="C60" s="231" t="s">
        <v>40</v>
      </c>
      <c r="D60" s="231"/>
      <c r="E60" s="231"/>
      <c r="F60" s="231"/>
      <c r="G60" s="231"/>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0" zoomScaleNormal="100" zoomScaleSheetLayoutView="100" workbookViewId="0">
      <selection activeCell="I44" sqref="I44"/>
    </sheetView>
  </sheetViews>
  <sheetFormatPr defaultColWidth="8.85546875" defaultRowHeight="12.75" x14ac:dyDescent="0.2"/>
  <cols>
    <col min="1" max="7" width="8.85546875" style="25"/>
    <col min="8" max="9" width="16.7109375" style="59" customWidth="1"/>
    <col min="10" max="10" width="10.28515625" style="25" bestFit="1" customWidth="1"/>
    <col min="11" max="16384" width="8.85546875" style="25"/>
  </cols>
  <sheetData>
    <row r="1" spans="1:9" x14ac:dyDescent="0.2">
      <c r="A1" s="311" t="s">
        <v>41</v>
      </c>
      <c r="B1" s="312"/>
      <c r="C1" s="312"/>
      <c r="D1" s="312"/>
      <c r="E1" s="312"/>
      <c r="F1" s="312"/>
      <c r="G1" s="312"/>
      <c r="H1" s="312"/>
      <c r="I1" s="312"/>
    </row>
    <row r="2" spans="1:9" x14ac:dyDescent="0.2">
      <c r="A2" s="313" t="s">
        <v>517</v>
      </c>
      <c r="B2" s="314"/>
      <c r="C2" s="314"/>
      <c r="D2" s="314"/>
      <c r="E2" s="314"/>
      <c r="F2" s="314"/>
      <c r="G2" s="314"/>
      <c r="H2" s="314"/>
      <c r="I2" s="314"/>
    </row>
    <row r="3" spans="1:9" x14ac:dyDescent="0.2">
      <c r="A3" s="315" t="s">
        <v>42</v>
      </c>
      <c r="B3" s="316"/>
      <c r="C3" s="316"/>
      <c r="D3" s="316"/>
      <c r="E3" s="316"/>
      <c r="F3" s="316"/>
      <c r="G3" s="316"/>
      <c r="H3" s="316"/>
      <c r="I3" s="316"/>
    </row>
    <row r="4" spans="1:9" x14ac:dyDescent="0.2">
      <c r="A4" s="320" t="s">
        <v>519</v>
      </c>
      <c r="B4" s="321"/>
      <c r="C4" s="321"/>
      <c r="D4" s="321"/>
      <c r="E4" s="321"/>
      <c r="F4" s="321"/>
      <c r="G4" s="321"/>
      <c r="H4" s="321"/>
      <c r="I4" s="322"/>
    </row>
    <row r="5" spans="1:9" ht="34.5" thickBot="1" x14ac:dyDescent="0.25">
      <c r="A5" s="326" t="s">
        <v>43</v>
      </c>
      <c r="B5" s="327"/>
      <c r="C5" s="327"/>
      <c r="D5" s="327"/>
      <c r="E5" s="327"/>
      <c r="F5" s="328"/>
      <c r="G5" s="26" t="s">
        <v>44</v>
      </c>
      <c r="H5" s="54" t="s">
        <v>45</v>
      </c>
      <c r="I5" s="55" t="s">
        <v>46</v>
      </c>
    </row>
    <row r="6" spans="1:9" x14ac:dyDescent="0.2">
      <c r="A6" s="323">
        <v>1</v>
      </c>
      <c r="B6" s="324"/>
      <c r="C6" s="324"/>
      <c r="D6" s="324"/>
      <c r="E6" s="324"/>
      <c r="F6" s="325"/>
      <c r="G6" s="27">
        <v>2</v>
      </c>
      <c r="H6" s="28">
        <v>3</v>
      </c>
      <c r="I6" s="28">
        <v>4</v>
      </c>
    </row>
    <row r="7" spans="1:9" x14ac:dyDescent="0.2">
      <c r="A7" s="329"/>
      <c r="B7" s="329"/>
      <c r="C7" s="329"/>
      <c r="D7" s="329"/>
      <c r="E7" s="329"/>
      <c r="F7" s="329"/>
      <c r="G7" s="329"/>
      <c r="H7" s="329"/>
      <c r="I7" s="330"/>
    </row>
    <row r="8" spans="1:9" ht="12.75" customHeight="1" x14ac:dyDescent="0.2">
      <c r="A8" s="331" t="s">
        <v>47</v>
      </c>
      <c r="B8" s="332"/>
      <c r="C8" s="332"/>
      <c r="D8" s="332"/>
      <c r="E8" s="332"/>
      <c r="F8" s="333"/>
      <c r="G8" s="16">
        <v>1</v>
      </c>
      <c r="H8" s="56">
        <v>0</v>
      </c>
      <c r="I8" s="56">
        <v>0</v>
      </c>
    </row>
    <row r="9" spans="1:9" ht="12.75" customHeight="1" x14ac:dyDescent="0.2">
      <c r="A9" s="300" t="s">
        <v>48</v>
      </c>
      <c r="B9" s="301"/>
      <c r="C9" s="301"/>
      <c r="D9" s="301"/>
      <c r="E9" s="301"/>
      <c r="F9" s="302"/>
      <c r="G9" s="17">
        <v>2</v>
      </c>
      <c r="H9" s="57">
        <f>H10+H17+H27+H38+H43</f>
        <v>5152301804</v>
      </c>
      <c r="I9" s="57">
        <f>I10+I17+I27+I38+I43</f>
        <v>4681079535</v>
      </c>
    </row>
    <row r="10" spans="1:9" ht="12.75" customHeight="1" x14ac:dyDescent="0.2">
      <c r="A10" s="317" t="s">
        <v>49</v>
      </c>
      <c r="B10" s="318"/>
      <c r="C10" s="318"/>
      <c r="D10" s="318"/>
      <c r="E10" s="318"/>
      <c r="F10" s="319"/>
      <c r="G10" s="17">
        <v>3</v>
      </c>
      <c r="H10" s="57">
        <f>H11+H12+H13+H14+H15+H16</f>
        <v>34640301</v>
      </c>
      <c r="I10" s="57">
        <f>I11+I12+I13+I14+I15+I16</f>
        <v>36660787</v>
      </c>
    </row>
    <row r="11" spans="1:9" ht="12.75" customHeight="1" x14ac:dyDescent="0.2">
      <c r="A11" s="308" t="s">
        <v>50</v>
      </c>
      <c r="B11" s="309"/>
      <c r="C11" s="309"/>
      <c r="D11" s="309"/>
      <c r="E11" s="309"/>
      <c r="F11" s="310"/>
      <c r="G11" s="16">
        <v>4</v>
      </c>
      <c r="H11" s="56">
        <v>0</v>
      </c>
      <c r="I11" s="56">
        <v>0</v>
      </c>
    </row>
    <row r="12" spans="1:9" ht="23.45" customHeight="1" x14ac:dyDescent="0.2">
      <c r="A12" s="308" t="s">
        <v>51</v>
      </c>
      <c r="B12" s="309"/>
      <c r="C12" s="309"/>
      <c r="D12" s="309"/>
      <c r="E12" s="309"/>
      <c r="F12" s="310"/>
      <c r="G12" s="16">
        <v>5</v>
      </c>
      <c r="H12" s="56">
        <v>26854197</v>
      </c>
      <c r="I12" s="56">
        <v>26829540</v>
      </c>
    </row>
    <row r="13" spans="1:9" ht="12.75" customHeight="1" x14ac:dyDescent="0.2">
      <c r="A13" s="308" t="s">
        <v>52</v>
      </c>
      <c r="B13" s="309"/>
      <c r="C13" s="309"/>
      <c r="D13" s="309"/>
      <c r="E13" s="309"/>
      <c r="F13" s="310"/>
      <c r="G13" s="16">
        <v>6</v>
      </c>
      <c r="H13" s="56">
        <v>6567609</v>
      </c>
      <c r="I13" s="56">
        <v>6567609</v>
      </c>
    </row>
    <row r="14" spans="1:9" ht="12.75" customHeight="1" x14ac:dyDescent="0.2">
      <c r="A14" s="308" t="s">
        <v>53</v>
      </c>
      <c r="B14" s="309"/>
      <c r="C14" s="309"/>
      <c r="D14" s="309"/>
      <c r="E14" s="309"/>
      <c r="F14" s="310"/>
      <c r="G14" s="16">
        <v>7</v>
      </c>
      <c r="H14" s="56">
        <v>0</v>
      </c>
      <c r="I14" s="56">
        <v>183088</v>
      </c>
    </row>
    <row r="15" spans="1:9" ht="12.75" customHeight="1" x14ac:dyDescent="0.2">
      <c r="A15" s="308" t="s">
        <v>54</v>
      </c>
      <c r="B15" s="309"/>
      <c r="C15" s="309"/>
      <c r="D15" s="309"/>
      <c r="E15" s="309"/>
      <c r="F15" s="310"/>
      <c r="G15" s="16">
        <v>8</v>
      </c>
      <c r="H15" s="56">
        <v>1218495</v>
      </c>
      <c r="I15" s="56">
        <v>3080550</v>
      </c>
    </row>
    <row r="16" spans="1:9" ht="12.75" customHeight="1" x14ac:dyDescent="0.2">
      <c r="A16" s="308" t="s">
        <v>55</v>
      </c>
      <c r="B16" s="309"/>
      <c r="C16" s="309"/>
      <c r="D16" s="309"/>
      <c r="E16" s="309"/>
      <c r="F16" s="310"/>
      <c r="G16" s="16">
        <v>9</v>
      </c>
      <c r="H16" s="56">
        <v>0</v>
      </c>
      <c r="I16" s="56">
        <v>0</v>
      </c>
    </row>
    <row r="17" spans="1:9" ht="12.75" customHeight="1" x14ac:dyDescent="0.2">
      <c r="A17" s="317" t="s">
        <v>56</v>
      </c>
      <c r="B17" s="318"/>
      <c r="C17" s="318"/>
      <c r="D17" s="318"/>
      <c r="E17" s="318"/>
      <c r="F17" s="319"/>
      <c r="G17" s="17">
        <v>10</v>
      </c>
      <c r="H17" s="57">
        <f>H18+H19+H20+H21+H22+H23+H24+H25+H26</f>
        <v>3936984239</v>
      </c>
      <c r="I17" s="57">
        <f>I18+I19+I20+I21+I22+I23+I24+I25+I26</f>
        <v>3525519338</v>
      </c>
    </row>
    <row r="18" spans="1:9" ht="12.75" customHeight="1" x14ac:dyDescent="0.2">
      <c r="A18" s="308" t="s">
        <v>57</v>
      </c>
      <c r="B18" s="309"/>
      <c r="C18" s="309"/>
      <c r="D18" s="309"/>
      <c r="E18" s="309"/>
      <c r="F18" s="310"/>
      <c r="G18" s="16">
        <v>11</v>
      </c>
      <c r="H18" s="56">
        <v>593370669</v>
      </c>
      <c r="I18" s="56">
        <v>533663478</v>
      </c>
    </row>
    <row r="19" spans="1:9" ht="12.75" customHeight="1" x14ac:dyDescent="0.2">
      <c r="A19" s="308" t="s">
        <v>58</v>
      </c>
      <c r="B19" s="309"/>
      <c r="C19" s="309"/>
      <c r="D19" s="309"/>
      <c r="E19" s="309"/>
      <c r="F19" s="310"/>
      <c r="G19" s="16">
        <v>12</v>
      </c>
      <c r="H19" s="56">
        <v>2593423408</v>
      </c>
      <c r="I19" s="56">
        <v>2304216155</v>
      </c>
    </row>
    <row r="20" spans="1:9" ht="12.75" customHeight="1" x14ac:dyDescent="0.2">
      <c r="A20" s="308" t="s">
        <v>59</v>
      </c>
      <c r="B20" s="309"/>
      <c r="C20" s="309"/>
      <c r="D20" s="309"/>
      <c r="E20" s="309"/>
      <c r="F20" s="310"/>
      <c r="G20" s="16">
        <v>13</v>
      </c>
      <c r="H20" s="56">
        <v>355975206</v>
      </c>
      <c r="I20" s="56">
        <v>316513500</v>
      </c>
    </row>
    <row r="21" spans="1:9" ht="12.75" customHeight="1" x14ac:dyDescent="0.2">
      <c r="A21" s="308" t="s">
        <v>60</v>
      </c>
      <c r="B21" s="309"/>
      <c r="C21" s="309"/>
      <c r="D21" s="309"/>
      <c r="E21" s="309"/>
      <c r="F21" s="310"/>
      <c r="G21" s="16">
        <v>14</v>
      </c>
      <c r="H21" s="56">
        <v>72736320</v>
      </c>
      <c r="I21" s="56">
        <v>66182224</v>
      </c>
    </row>
    <row r="22" spans="1:9" ht="12.75" customHeight="1" x14ac:dyDescent="0.2">
      <c r="A22" s="308" t="s">
        <v>61</v>
      </c>
      <c r="B22" s="309"/>
      <c r="C22" s="309"/>
      <c r="D22" s="309"/>
      <c r="E22" s="309"/>
      <c r="F22" s="310"/>
      <c r="G22" s="16">
        <v>15</v>
      </c>
      <c r="H22" s="56">
        <v>0</v>
      </c>
      <c r="I22" s="56">
        <v>0</v>
      </c>
    </row>
    <row r="23" spans="1:9" ht="12.75" customHeight="1" x14ac:dyDescent="0.2">
      <c r="A23" s="308" t="s">
        <v>62</v>
      </c>
      <c r="B23" s="309"/>
      <c r="C23" s="309"/>
      <c r="D23" s="309"/>
      <c r="E23" s="309"/>
      <c r="F23" s="310"/>
      <c r="G23" s="16">
        <v>16</v>
      </c>
      <c r="H23" s="56">
        <v>42528</v>
      </c>
      <c r="I23" s="56">
        <v>2586845</v>
      </c>
    </row>
    <row r="24" spans="1:9" ht="12.75" customHeight="1" x14ac:dyDescent="0.2">
      <c r="A24" s="308" t="s">
        <v>63</v>
      </c>
      <c r="B24" s="309"/>
      <c r="C24" s="309"/>
      <c r="D24" s="309"/>
      <c r="E24" s="309"/>
      <c r="F24" s="310"/>
      <c r="G24" s="16">
        <v>17</v>
      </c>
      <c r="H24" s="56">
        <v>267938392</v>
      </c>
      <c r="I24" s="56">
        <v>256325036</v>
      </c>
    </row>
    <row r="25" spans="1:9" ht="12.75" customHeight="1" x14ac:dyDescent="0.2">
      <c r="A25" s="308" t="s">
        <v>64</v>
      </c>
      <c r="B25" s="309"/>
      <c r="C25" s="309"/>
      <c r="D25" s="309"/>
      <c r="E25" s="309"/>
      <c r="F25" s="310"/>
      <c r="G25" s="16">
        <v>18</v>
      </c>
      <c r="H25" s="56">
        <v>50317735</v>
      </c>
      <c r="I25" s="56">
        <v>43129968</v>
      </c>
    </row>
    <row r="26" spans="1:9" ht="12.75" customHeight="1" x14ac:dyDescent="0.2">
      <c r="A26" s="308" t="s">
        <v>65</v>
      </c>
      <c r="B26" s="309"/>
      <c r="C26" s="309"/>
      <c r="D26" s="309"/>
      <c r="E26" s="309"/>
      <c r="F26" s="310"/>
      <c r="G26" s="16">
        <v>19</v>
      </c>
      <c r="H26" s="56">
        <v>3179981</v>
      </c>
      <c r="I26" s="56">
        <v>2902132</v>
      </c>
    </row>
    <row r="27" spans="1:9" ht="12.75" customHeight="1" x14ac:dyDescent="0.2">
      <c r="A27" s="317" t="s">
        <v>66</v>
      </c>
      <c r="B27" s="318"/>
      <c r="C27" s="318"/>
      <c r="D27" s="318"/>
      <c r="E27" s="318"/>
      <c r="F27" s="319"/>
      <c r="G27" s="17">
        <v>20</v>
      </c>
      <c r="H27" s="57">
        <f>SUM(H28:H37)</f>
        <v>1017453237</v>
      </c>
      <c r="I27" s="57">
        <f>SUM(I28:I37)</f>
        <v>1068140025</v>
      </c>
    </row>
    <row r="28" spans="1:9" ht="12.75" customHeight="1" x14ac:dyDescent="0.2">
      <c r="A28" s="308" t="s">
        <v>67</v>
      </c>
      <c r="B28" s="309"/>
      <c r="C28" s="309"/>
      <c r="D28" s="309"/>
      <c r="E28" s="309"/>
      <c r="F28" s="310"/>
      <c r="G28" s="16">
        <v>21</v>
      </c>
      <c r="H28" s="56">
        <v>941803942</v>
      </c>
      <c r="I28" s="56">
        <v>941803942</v>
      </c>
    </row>
    <row r="29" spans="1:9" ht="12.75" customHeight="1" x14ac:dyDescent="0.2">
      <c r="A29" s="308" t="s">
        <v>68</v>
      </c>
      <c r="B29" s="309"/>
      <c r="C29" s="309"/>
      <c r="D29" s="309"/>
      <c r="E29" s="309"/>
      <c r="F29" s="310"/>
      <c r="G29" s="16">
        <v>22</v>
      </c>
      <c r="H29" s="56">
        <v>0</v>
      </c>
      <c r="I29" s="56">
        <v>0</v>
      </c>
    </row>
    <row r="30" spans="1:9" ht="12.75" customHeight="1" x14ac:dyDescent="0.2">
      <c r="A30" s="308" t="s">
        <v>69</v>
      </c>
      <c r="B30" s="309"/>
      <c r="C30" s="309"/>
      <c r="D30" s="309"/>
      <c r="E30" s="309"/>
      <c r="F30" s="310"/>
      <c r="G30" s="16">
        <v>23</v>
      </c>
      <c r="H30" s="56">
        <v>0</v>
      </c>
      <c r="I30" s="56">
        <v>0</v>
      </c>
    </row>
    <row r="31" spans="1:9" ht="24.6" customHeight="1" x14ac:dyDescent="0.2">
      <c r="A31" s="308" t="s">
        <v>70</v>
      </c>
      <c r="B31" s="309"/>
      <c r="C31" s="309"/>
      <c r="D31" s="309"/>
      <c r="E31" s="309"/>
      <c r="F31" s="310"/>
      <c r="G31" s="16">
        <v>24</v>
      </c>
      <c r="H31" s="56">
        <v>70112312</v>
      </c>
      <c r="I31" s="56">
        <v>107184532</v>
      </c>
    </row>
    <row r="32" spans="1:9" ht="24" customHeight="1" x14ac:dyDescent="0.2">
      <c r="A32" s="308" t="s">
        <v>71</v>
      </c>
      <c r="B32" s="309"/>
      <c r="C32" s="309"/>
      <c r="D32" s="309"/>
      <c r="E32" s="309"/>
      <c r="F32" s="310"/>
      <c r="G32" s="16">
        <v>25</v>
      </c>
      <c r="H32" s="56">
        <v>0</v>
      </c>
      <c r="I32" s="56">
        <v>0</v>
      </c>
    </row>
    <row r="33" spans="1:9" ht="26.45" customHeight="1" x14ac:dyDescent="0.2">
      <c r="A33" s="308" t="s">
        <v>72</v>
      </c>
      <c r="B33" s="309"/>
      <c r="C33" s="309"/>
      <c r="D33" s="309"/>
      <c r="E33" s="309"/>
      <c r="F33" s="310"/>
      <c r="G33" s="16">
        <v>26</v>
      </c>
      <c r="H33" s="56">
        <v>0</v>
      </c>
      <c r="I33" s="56">
        <v>3120329</v>
      </c>
    </row>
    <row r="34" spans="1:9" ht="12.75" customHeight="1" x14ac:dyDescent="0.2">
      <c r="A34" s="308" t="s">
        <v>73</v>
      </c>
      <c r="B34" s="309"/>
      <c r="C34" s="309"/>
      <c r="D34" s="309"/>
      <c r="E34" s="309"/>
      <c r="F34" s="310"/>
      <c r="G34" s="16">
        <v>27</v>
      </c>
      <c r="H34" s="56">
        <v>219121</v>
      </c>
      <c r="I34" s="56">
        <v>192294</v>
      </c>
    </row>
    <row r="35" spans="1:9" ht="12.75" customHeight="1" x14ac:dyDescent="0.2">
      <c r="A35" s="308" t="s">
        <v>74</v>
      </c>
      <c r="B35" s="309"/>
      <c r="C35" s="309"/>
      <c r="D35" s="309"/>
      <c r="E35" s="309"/>
      <c r="F35" s="310"/>
      <c r="G35" s="16">
        <v>28</v>
      </c>
      <c r="H35" s="56">
        <v>5177862</v>
      </c>
      <c r="I35" s="56">
        <v>4194812</v>
      </c>
    </row>
    <row r="36" spans="1:9" ht="12.75" customHeight="1" x14ac:dyDescent="0.2">
      <c r="A36" s="308" t="s">
        <v>75</v>
      </c>
      <c r="B36" s="309"/>
      <c r="C36" s="309"/>
      <c r="D36" s="309"/>
      <c r="E36" s="309"/>
      <c r="F36" s="310"/>
      <c r="G36" s="16">
        <v>29</v>
      </c>
      <c r="H36" s="56">
        <v>0</v>
      </c>
      <c r="I36" s="56">
        <v>0</v>
      </c>
    </row>
    <row r="37" spans="1:9" ht="12.75" customHeight="1" x14ac:dyDescent="0.2">
      <c r="A37" s="308" t="s">
        <v>76</v>
      </c>
      <c r="B37" s="309"/>
      <c r="C37" s="309"/>
      <c r="D37" s="309"/>
      <c r="E37" s="309"/>
      <c r="F37" s="310"/>
      <c r="G37" s="16">
        <v>30</v>
      </c>
      <c r="H37" s="56">
        <v>140000</v>
      </c>
      <c r="I37" s="56">
        <v>11644116</v>
      </c>
    </row>
    <row r="38" spans="1:9" ht="12.75" customHeight="1" x14ac:dyDescent="0.2">
      <c r="A38" s="317" t="s">
        <v>77</v>
      </c>
      <c r="B38" s="318"/>
      <c r="C38" s="318"/>
      <c r="D38" s="318"/>
      <c r="E38" s="318"/>
      <c r="F38" s="319"/>
      <c r="G38" s="17">
        <v>31</v>
      </c>
      <c r="H38" s="57">
        <f>H39+H40+H41+H42</f>
        <v>0</v>
      </c>
      <c r="I38" s="57">
        <f>I39+I40+I41+I42</f>
        <v>0</v>
      </c>
    </row>
    <row r="39" spans="1:9" ht="12.75" customHeight="1" x14ac:dyDescent="0.2">
      <c r="A39" s="308" t="s">
        <v>78</v>
      </c>
      <c r="B39" s="309"/>
      <c r="C39" s="309"/>
      <c r="D39" s="309"/>
      <c r="E39" s="309"/>
      <c r="F39" s="310"/>
      <c r="G39" s="16">
        <v>32</v>
      </c>
      <c r="H39" s="56">
        <v>0</v>
      </c>
      <c r="I39" s="56">
        <v>0</v>
      </c>
    </row>
    <row r="40" spans="1:9" ht="21.6" customHeight="1" x14ac:dyDescent="0.2">
      <c r="A40" s="308" t="s">
        <v>79</v>
      </c>
      <c r="B40" s="309"/>
      <c r="C40" s="309"/>
      <c r="D40" s="309"/>
      <c r="E40" s="309"/>
      <c r="F40" s="310"/>
      <c r="G40" s="16">
        <v>33</v>
      </c>
      <c r="H40" s="56">
        <v>0</v>
      </c>
      <c r="I40" s="56">
        <v>0</v>
      </c>
    </row>
    <row r="41" spans="1:9" ht="12.75" customHeight="1" x14ac:dyDescent="0.2">
      <c r="A41" s="308" t="s">
        <v>80</v>
      </c>
      <c r="B41" s="309"/>
      <c r="C41" s="309"/>
      <c r="D41" s="309"/>
      <c r="E41" s="309"/>
      <c r="F41" s="310"/>
      <c r="G41" s="16">
        <v>34</v>
      </c>
      <c r="H41" s="56">
        <v>0</v>
      </c>
      <c r="I41" s="56">
        <v>0</v>
      </c>
    </row>
    <row r="42" spans="1:9" ht="12.75" customHeight="1" x14ac:dyDescent="0.2">
      <c r="A42" s="308" t="s">
        <v>81</v>
      </c>
      <c r="B42" s="309"/>
      <c r="C42" s="309"/>
      <c r="D42" s="309"/>
      <c r="E42" s="309"/>
      <c r="F42" s="310"/>
      <c r="G42" s="16">
        <v>35</v>
      </c>
      <c r="H42" s="56">
        <v>0</v>
      </c>
      <c r="I42" s="56">
        <v>0</v>
      </c>
    </row>
    <row r="43" spans="1:9" ht="12.75" customHeight="1" x14ac:dyDescent="0.2">
      <c r="A43" s="291" t="s">
        <v>82</v>
      </c>
      <c r="B43" s="292"/>
      <c r="C43" s="292"/>
      <c r="D43" s="292"/>
      <c r="E43" s="292"/>
      <c r="F43" s="293"/>
      <c r="G43" s="16">
        <v>36</v>
      </c>
      <c r="H43" s="56">
        <v>163224027</v>
      </c>
      <c r="I43" s="56">
        <v>50759385</v>
      </c>
    </row>
    <row r="44" spans="1:9" ht="12.75" customHeight="1" x14ac:dyDescent="0.2">
      <c r="A44" s="300" t="s">
        <v>83</v>
      </c>
      <c r="B44" s="301"/>
      <c r="C44" s="301"/>
      <c r="D44" s="301"/>
      <c r="E44" s="301"/>
      <c r="F44" s="302"/>
      <c r="G44" s="17">
        <v>37</v>
      </c>
      <c r="H44" s="57">
        <f>H45+H53+H60+H70</f>
        <v>656422372</v>
      </c>
      <c r="I44" s="57">
        <f>I45+I53+I60+I70</f>
        <v>525780603</v>
      </c>
    </row>
    <row r="45" spans="1:9" ht="12.75" customHeight="1" x14ac:dyDescent="0.2">
      <c r="A45" s="317" t="s">
        <v>84</v>
      </c>
      <c r="B45" s="318"/>
      <c r="C45" s="318"/>
      <c r="D45" s="318"/>
      <c r="E45" s="318"/>
      <c r="F45" s="319"/>
      <c r="G45" s="17">
        <v>38</v>
      </c>
      <c r="H45" s="57">
        <f>SUM(H46:H52)</f>
        <v>23619254</v>
      </c>
      <c r="I45" s="57">
        <f>SUM(I46:I52)</f>
        <v>32338973</v>
      </c>
    </row>
    <row r="46" spans="1:9" ht="12.75" customHeight="1" x14ac:dyDescent="0.2">
      <c r="A46" s="308" t="s">
        <v>85</v>
      </c>
      <c r="B46" s="309"/>
      <c r="C46" s="309"/>
      <c r="D46" s="309"/>
      <c r="E46" s="309"/>
      <c r="F46" s="310"/>
      <c r="G46" s="16">
        <v>39</v>
      </c>
      <c r="H46" s="56">
        <v>22520626</v>
      </c>
      <c r="I46" s="56">
        <v>31092875</v>
      </c>
    </row>
    <row r="47" spans="1:9" ht="12.75" customHeight="1" x14ac:dyDescent="0.2">
      <c r="A47" s="308" t="s">
        <v>86</v>
      </c>
      <c r="B47" s="309"/>
      <c r="C47" s="309"/>
      <c r="D47" s="309"/>
      <c r="E47" s="309"/>
      <c r="F47" s="310"/>
      <c r="G47" s="16">
        <v>40</v>
      </c>
      <c r="H47" s="56">
        <v>0</v>
      </c>
      <c r="I47" s="56">
        <v>0</v>
      </c>
    </row>
    <row r="48" spans="1:9" ht="12.75" customHeight="1" x14ac:dyDescent="0.2">
      <c r="A48" s="308" t="s">
        <v>87</v>
      </c>
      <c r="B48" s="309"/>
      <c r="C48" s="309"/>
      <c r="D48" s="309"/>
      <c r="E48" s="309"/>
      <c r="F48" s="310"/>
      <c r="G48" s="16">
        <v>41</v>
      </c>
      <c r="H48" s="56">
        <v>0</v>
      </c>
      <c r="I48" s="56">
        <v>0</v>
      </c>
    </row>
    <row r="49" spans="1:9" ht="12.75" customHeight="1" x14ac:dyDescent="0.2">
      <c r="A49" s="308" t="s">
        <v>88</v>
      </c>
      <c r="B49" s="309"/>
      <c r="C49" s="309"/>
      <c r="D49" s="309"/>
      <c r="E49" s="309"/>
      <c r="F49" s="310"/>
      <c r="G49" s="16">
        <v>42</v>
      </c>
      <c r="H49" s="56">
        <v>1098628</v>
      </c>
      <c r="I49" s="56">
        <v>1246098</v>
      </c>
    </row>
    <row r="50" spans="1:9" ht="12.75" customHeight="1" x14ac:dyDescent="0.2">
      <c r="A50" s="308" t="s">
        <v>89</v>
      </c>
      <c r="B50" s="309"/>
      <c r="C50" s="309"/>
      <c r="D50" s="309"/>
      <c r="E50" s="309"/>
      <c r="F50" s="310"/>
      <c r="G50" s="16">
        <v>43</v>
      </c>
      <c r="H50" s="56">
        <v>0</v>
      </c>
      <c r="I50" s="56">
        <v>0</v>
      </c>
    </row>
    <row r="51" spans="1:9" ht="12.75" customHeight="1" x14ac:dyDescent="0.2">
      <c r="A51" s="308" t="s">
        <v>90</v>
      </c>
      <c r="B51" s="309"/>
      <c r="C51" s="309"/>
      <c r="D51" s="309"/>
      <c r="E51" s="309"/>
      <c r="F51" s="310"/>
      <c r="G51" s="16">
        <v>44</v>
      </c>
      <c r="H51" s="56">
        <v>0</v>
      </c>
      <c r="I51" s="56">
        <v>0</v>
      </c>
    </row>
    <row r="52" spans="1:9" ht="12.75" customHeight="1" x14ac:dyDescent="0.2">
      <c r="A52" s="308" t="s">
        <v>91</v>
      </c>
      <c r="B52" s="309"/>
      <c r="C52" s="309"/>
      <c r="D52" s="309"/>
      <c r="E52" s="309"/>
      <c r="F52" s="310"/>
      <c r="G52" s="16">
        <v>45</v>
      </c>
      <c r="H52" s="56">
        <v>0</v>
      </c>
      <c r="I52" s="56">
        <v>0</v>
      </c>
    </row>
    <row r="53" spans="1:9" ht="12.75" customHeight="1" x14ac:dyDescent="0.2">
      <c r="A53" s="317" t="s">
        <v>92</v>
      </c>
      <c r="B53" s="318"/>
      <c r="C53" s="318"/>
      <c r="D53" s="318"/>
      <c r="E53" s="318"/>
      <c r="F53" s="319"/>
      <c r="G53" s="17">
        <v>46</v>
      </c>
      <c r="H53" s="57">
        <f>SUM(H54:H59)</f>
        <v>50219276</v>
      </c>
      <c r="I53" s="57">
        <f>SUM(I54:I59)</f>
        <v>39546531</v>
      </c>
    </row>
    <row r="54" spans="1:9" ht="12.75" customHeight="1" x14ac:dyDescent="0.2">
      <c r="A54" s="308" t="s">
        <v>93</v>
      </c>
      <c r="B54" s="309"/>
      <c r="C54" s="309"/>
      <c r="D54" s="309"/>
      <c r="E54" s="309"/>
      <c r="F54" s="310"/>
      <c r="G54" s="16">
        <v>47</v>
      </c>
      <c r="H54" s="56">
        <v>19738193</v>
      </c>
      <c r="I54" s="56">
        <v>15745709</v>
      </c>
    </row>
    <row r="55" spans="1:9" ht="24.6" customHeight="1" x14ac:dyDescent="0.2">
      <c r="A55" s="308" t="s">
        <v>94</v>
      </c>
      <c r="B55" s="309"/>
      <c r="C55" s="309"/>
      <c r="D55" s="309"/>
      <c r="E55" s="309"/>
      <c r="F55" s="310"/>
      <c r="G55" s="16">
        <v>48</v>
      </c>
      <c r="H55" s="56">
        <v>7293713</v>
      </c>
      <c r="I55" s="56">
        <v>8023863</v>
      </c>
    </row>
    <row r="56" spans="1:9" ht="12.75" customHeight="1" x14ac:dyDescent="0.2">
      <c r="A56" s="308" t="s">
        <v>95</v>
      </c>
      <c r="B56" s="309"/>
      <c r="C56" s="309"/>
      <c r="D56" s="309"/>
      <c r="E56" s="309"/>
      <c r="F56" s="310"/>
      <c r="G56" s="16">
        <v>49</v>
      </c>
      <c r="H56" s="56">
        <v>16667610</v>
      </c>
      <c r="I56" s="56">
        <v>12310275</v>
      </c>
    </row>
    <row r="57" spans="1:9" ht="12.75" customHeight="1" x14ac:dyDescent="0.2">
      <c r="A57" s="308" t="s">
        <v>96</v>
      </c>
      <c r="B57" s="309"/>
      <c r="C57" s="309"/>
      <c r="D57" s="309"/>
      <c r="E57" s="309"/>
      <c r="F57" s="310"/>
      <c r="G57" s="16">
        <v>50</v>
      </c>
      <c r="H57" s="56">
        <v>625968</v>
      </c>
      <c r="I57" s="56">
        <v>294087</v>
      </c>
    </row>
    <row r="58" spans="1:9" ht="12.75" customHeight="1" x14ac:dyDescent="0.2">
      <c r="A58" s="308" t="s">
        <v>97</v>
      </c>
      <c r="B58" s="309"/>
      <c r="C58" s="309"/>
      <c r="D58" s="309"/>
      <c r="E58" s="309"/>
      <c r="F58" s="310"/>
      <c r="G58" s="16">
        <v>51</v>
      </c>
      <c r="H58" s="56">
        <v>3070818</v>
      </c>
      <c r="I58" s="56">
        <v>2035828</v>
      </c>
    </row>
    <row r="59" spans="1:9" ht="12.75" customHeight="1" x14ac:dyDescent="0.2">
      <c r="A59" s="308" t="s">
        <v>98</v>
      </c>
      <c r="B59" s="309"/>
      <c r="C59" s="309"/>
      <c r="D59" s="309"/>
      <c r="E59" s="309"/>
      <c r="F59" s="310"/>
      <c r="G59" s="16">
        <v>52</v>
      </c>
      <c r="H59" s="56">
        <v>2822974</v>
      </c>
      <c r="I59" s="56">
        <v>1136769</v>
      </c>
    </row>
    <row r="60" spans="1:9" ht="12.75" customHeight="1" x14ac:dyDescent="0.2">
      <c r="A60" s="317" t="s">
        <v>99</v>
      </c>
      <c r="B60" s="318"/>
      <c r="C60" s="318"/>
      <c r="D60" s="318"/>
      <c r="E60" s="318"/>
      <c r="F60" s="319"/>
      <c r="G60" s="17">
        <v>53</v>
      </c>
      <c r="H60" s="57">
        <f>SUM(H61:H69)</f>
        <v>444055</v>
      </c>
      <c r="I60" s="57">
        <f>SUM(I61:I69)</f>
        <v>7336795</v>
      </c>
    </row>
    <row r="61" spans="1:9" ht="12.75" customHeight="1" x14ac:dyDescent="0.2">
      <c r="A61" s="308" t="s">
        <v>100</v>
      </c>
      <c r="B61" s="309"/>
      <c r="C61" s="309"/>
      <c r="D61" s="309"/>
      <c r="E61" s="309"/>
      <c r="F61" s="310"/>
      <c r="G61" s="16">
        <v>54</v>
      </c>
      <c r="H61" s="56">
        <v>0</v>
      </c>
      <c r="I61" s="56">
        <v>0</v>
      </c>
    </row>
    <row r="62" spans="1:9" ht="12.75" customHeight="1" x14ac:dyDescent="0.2">
      <c r="A62" s="308" t="s">
        <v>101</v>
      </c>
      <c r="B62" s="309"/>
      <c r="C62" s="309"/>
      <c r="D62" s="309"/>
      <c r="E62" s="309"/>
      <c r="F62" s="310"/>
      <c r="G62" s="16">
        <v>55</v>
      </c>
      <c r="H62" s="56">
        <v>0</v>
      </c>
      <c r="I62" s="56">
        <v>0</v>
      </c>
    </row>
    <row r="63" spans="1:9" ht="12.75" customHeight="1" x14ac:dyDescent="0.2">
      <c r="A63" s="308" t="s">
        <v>102</v>
      </c>
      <c r="B63" s="309"/>
      <c r="C63" s="309"/>
      <c r="D63" s="309"/>
      <c r="E63" s="309"/>
      <c r="F63" s="310"/>
      <c r="G63" s="16">
        <v>56</v>
      </c>
      <c r="H63" s="56">
        <v>28300</v>
      </c>
      <c r="I63" s="56">
        <v>0</v>
      </c>
    </row>
    <row r="64" spans="1:9" ht="23.45" customHeight="1" x14ac:dyDescent="0.2">
      <c r="A64" s="308" t="s">
        <v>103</v>
      </c>
      <c r="B64" s="309"/>
      <c r="C64" s="309"/>
      <c r="D64" s="309"/>
      <c r="E64" s="309"/>
      <c r="F64" s="310"/>
      <c r="G64" s="16">
        <v>57</v>
      </c>
      <c r="H64" s="56">
        <v>0</v>
      </c>
      <c r="I64" s="56">
        <v>0</v>
      </c>
    </row>
    <row r="65" spans="1:9" ht="21" customHeight="1" x14ac:dyDescent="0.2">
      <c r="A65" s="308" t="s">
        <v>104</v>
      </c>
      <c r="B65" s="309"/>
      <c r="C65" s="309"/>
      <c r="D65" s="309"/>
      <c r="E65" s="309"/>
      <c r="F65" s="310"/>
      <c r="G65" s="16">
        <v>58</v>
      </c>
      <c r="H65" s="56">
        <v>0</v>
      </c>
      <c r="I65" s="56">
        <v>0</v>
      </c>
    </row>
    <row r="66" spans="1:9" ht="22.9" customHeight="1" x14ac:dyDescent="0.2">
      <c r="A66" s="308" t="s">
        <v>105</v>
      </c>
      <c r="B66" s="309"/>
      <c r="C66" s="309"/>
      <c r="D66" s="309"/>
      <c r="E66" s="309"/>
      <c r="F66" s="310"/>
      <c r="G66" s="16">
        <v>59</v>
      </c>
      <c r="H66" s="56">
        <v>0</v>
      </c>
      <c r="I66" s="56">
        <v>0</v>
      </c>
    </row>
    <row r="67" spans="1:9" ht="12.75" customHeight="1" x14ac:dyDescent="0.2">
      <c r="A67" s="308" t="s">
        <v>106</v>
      </c>
      <c r="B67" s="309"/>
      <c r="C67" s="309"/>
      <c r="D67" s="309"/>
      <c r="E67" s="309"/>
      <c r="F67" s="310"/>
      <c r="G67" s="16">
        <v>60</v>
      </c>
      <c r="H67" s="56">
        <v>0</v>
      </c>
      <c r="I67" s="56">
        <v>0</v>
      </c>
    </row>
    <row r="68" spans="1:9" ht="12.75" customHeight="1" x14ac:dyDescent="0.2">
      <c r="A68" s="308" t="s">
        <v>107</v>
      </c>
      <c r="B68" s="309"/>
      <c r="C68" s="309"/>
      <c r="D68" s="309"/>
      <c r="E68" s="309"/>
      <c r="F68" s="310"/>
      <c r="G68" s="16">
        <v>61</v>
      </c>
      <c r="H68" s="56">
        <v>415755</v>
      </c>
      <c r="I68" s="56">
        <v>256122</v>
      </c>
    </row>
    <row r="69" spans="1:9" ht="12.75" customHeight="1" x14ac:dyDescent="0.2">
      <c r="A69" s="308" t="s">
        <v>108</v>
      </c>
      <c r="B69" s="309"/>
      <c r="C69" s="309"/>
      <c r="D69" s="309"/>
      <c r="E69" s="309"/>
      <c r="F69" s="310"/>
      <c r="G69" s="16">
        <v>62</v>
      </c>
      <c r="H69" s="56">
        <v>0</v>
      </c>
      <c r="I69" s="56">
        <v>7080673</v>
      </c>
    </row>
    <row r="70" spans="1:9" ht="12.75" customHeight="1" x14ac:dyDescent="0.2">
      <c r="A70" s="291" t="s">
        <v>109</v>
      </c>
      <c r="B70" s="292"/>
      <c r="C70" s="292"/>
      <c r="D70" s="292"/>
      <c r="E70" s="292"/>
      <c r="F70" s="293"/>
      <c r="G70" s="16">
        <v>63</v>
      </c>
      <c r="H70" s="56">
        <v>582139787</v>
      </c>
      <c r="I70" s="56">
        <v>446558304</v>
      </c>
    </row>
    <row r="71" spans="1:9" ht="12.75" customHeight="1" x14ac:dyDescent="0.2">
      <c r="A71" s="294" t="s">
        <v>110</v>
      </c>
      <c r="B71" s="295"/>
      <c r="C71" s="295"/>
      <c r="D71" s="295"/>
      <c r="E71" s="295"/>
      <c r="F71" s="296"/>
      <c r="G71" s="16">
        <v>64</v>
      </c>
      <c r="H71" s="56">
        <v>21272442</v>
      </c>
      <c r="I71" s="56">
        <v>16349109</v>
      </c>
    </row>
    <row r="72" spans="1:9" ht="12.75" customHeight="1" x14ac:dyDescent="0.2">
      <c r="A72" s="300" t="s">
        <v>111</v>
      </c>
      <c r="B72" s="301"/>
      <c r="C72" s="301"/>
      <c r="D72" s="301"/>
      <c r="E72" s="301"/>
      <c r="F72" s="302"/>
      <c r="G72" s="17">
        <v>65</v>
      </c>
      <c r="H72" s="57">
        <f>H8+H9+H44+H71</f>
        <v>5829996618</v>
      </c>
      <c r="I72" s="57">
        <f>I8+I9+I44+I71</f>
        <v>5223209247</v>
      </c>
    </row>
    <row r="73" spans="1:9" ht="12.75" customHeight="1" x14ac:dyDescent="0.2">
      <c r="A73" s="303" t="s">
        <v>112</v>
      </c>
      <c r="B73" s="304"/>
      <c r="C73" s="304"/>
      <c r="D73" s="304"/>
      <c r="E73" s="304"/>
      <c r="F73" s="305"/>
      <c r="G73" s="19">
        <v>66</v>
      </c>
      <c r="H73" s="58">
        <v>54173148</v>
      </c>
      <c r="I73" s="58">
        <v>54125549</v>
      </c>
    </row>
    <row r="74" spans="1:9" x14ac:dyDescent="0.2">
      <c r="A74" s="306" t="s">
        <v>113</v>
      </c>
      <c r="B74" s="307"/>
      <c r="C74" s="307"/>
      <c r="D74" s="307"/>
      <c r="E74" s="307"/>
      <c r="F74" s="307"/>
      <c r="G74" s="307"/>
      <c r="H74" s="307"/>
      <c r="I74" s="307"/>
    </row>
    <row r="75" spans="1:9" ht="24.75" customHeight="1" x14ac:dyDescent="0.2">
      <c r="A75" s="288" t="s">
        <v>396</v>
      </c>
      <c r="B75" s="289"/>
      <c r="C75" s="289"/>
      <c r="D75" s="289"/>
      <c r="E75" s="289"/>
      <c r="F75" s="289"/>
      <c r="G75" s="17">
        <v>67</v>
      </c>
      <c r="H75" s="57">
        <f>H76+H77+H78+H84+H85+H91+H94+H97</f>
        <v>2619280406</v>
      </c>
      <c r="I75" s="57">
        <f>I76+I77+I78+I84+I85+I91+I94+I97</f>
        <v>3074950277</v>
      </c>
    </row>
    <row r="76" spans="1:9" ht="12.75" customHeight="1" x14ac:dyDescent="0.2">
      <c r="A76" s="297" t="s">
        <v>114</v>
      </c>
      <c r="B76" s="297"/>
      <c r="C76" s="297"/>
      <c r="D76" s="297"/>
      <c r="E76" s="297"/>
      <c r="F76" s="297"/>
      <c r="G76" s="16">
        <v>68</v>
      </c>
      <c r="H76" s="56">
        <v>1672021210</v>
      </c>
      <c r="I76" s="56">
        <v>1672021210</v>
      </c>
    </row>
    <row r="77" spans="1:9" ht="12.75" customHeight="1" x14ac:dyDescent="0.2">
      <c r="A77" s="297" t="s">
        <v>115</v>
      </c>
      <c r="B77" s="297"/>
      <c r="C77" s="297"/>
      <c r="D77" s="297"/>
      <c r="E77" s="297"/>
      <c r="F77" s="297"/>
      <c r="G77" s="16">
        <v>69</v>
      </c>
      <c r="H77" s="56">
        <v>5710563</v>
      </c>
      <c r="I77" s="56">
        <v>5710563</v>
      </c>
    </row>
    <row r="78" spans="1:9" ht="12.75" customHeight="1" x14ac:dyDescent="0.2">
      <c r="A78" s="299" t="s">
        <v>116</v>
      </c>
      <c r="B78" s="299"/>
      <c r="C78" s="299"/>
      <c r="D78" s="299"/>
      <c r="E78" s="299"/>
      <c r="F78" s="299"/>
      <c r="G78" s="17">
        <v>70</v>
      </c>
      <c r="H78" s="57">
        <f>SUM(H79:H83)</f>
        <v>98247551</v>
      </c>
      <c r="I78" s="57">
        <f>SUM(I79:I83)</f>
        <v>134531679</v>
      </c>
    </row>
    <row r="79" spans="1:9" ht="12.75" customHeight="1" x14ac:dyDescent="0.2">
      <c r="A79" s="286" t="s">
        <v>117</v>
      </c>
      <c r="B79" s="286"/>
      <c r="C79" s="286"/>
      <c r="D79" s="286"/>
      <c r="E79" s="286"/>
      <c r="F79" s="286"/>
      <c r="G79" s="16">
        <v>71</v>
      </c>
      <c r="H79" s="56">
        <v>83601061</v>
      </c>
      <c r="I79" s="56">
        <v>83601061</v>
      </c>
    </row>
    <row r="80" spans="1:9" ht="12.75" customHeight="1" x14ac:dyDescent="0.2">
      <c r="A80" s="286" t="s">
        <v>118</v>
      </c>
      <c r="B80" s="286"/>
      <c r="C80" s="286"/>
      <c r="D80" s="286"/>
      <c r="E80" s="286"/>
      <c r="F80" s="286"/>
      <c r="G80" s="16">
        <v>72</v>
      </c>
      <c r="H80" s="56">
        <v>136815284</v>
      </c>
      <c r="I80" s="56">
        <v>136815284</v>
      </c>
    </row>
    <row r="81" spans="1:9" ht="12.75" customHeight="1" x14ac:dyDescent="0.2">
      <c r="A81" s="286" t="s">
        <v>119</v>
      </c>
      <c r="B81" s="286"/>
      <c r="C81" s="286"/>
      <c r="D81" s="286"/>
      <c r="E81" s="286"/>
      <c r="F81" s="286"/>
      <c r="G81" s="16">
        <v>73</v>
      </c>
      <c r="H81" s="56">
        <v>-124418266</v>
      </c>
      <c r="I81" s="56">
        <v>-124418266</v>
      </c>
    </row>
    <row r="82" spans="1:9" ht="12.75" customHeight="1" x14ac:dyDescent="0.2">
      <c r="A82" s="286" t="s">
        <v>120</v>
      </c>
      <c r="B82" s="286"/>
      <c r="C82" s="286"/>
      <c r="D82" s="286"/>
      <c r="E82" s="286"/>
      <c r="F82" s="286"/>
      <c r="G82" s="16">
        <v>74</v>
      </c>
      <c r="H82" s="56">
        <v>0</v>
      </c>
      <c r="I82" s="56">
        <v>0</v>
      </c>
    </row>
    <row r="83" spans="1:9" ht="12.75" customHeight="1" x14ac:dyDescent="0.2">
      <c r="A83" s="286" t="s">
        <v>121</v>
      </c>
      <c r="B83" s="286"/>
      <c r="C83" s="286"/>
      <c r="D83" s="286"/>
      <c r="E83" s="286"/>
      <c r="F83" s="286"/>
      <c r="G83" s="16">
        <v>75</v>
      </c>
      <c r="H83" s="56">
        <v>2249472</v>
      </c>
      <c r="I83" s="56">
        <v>38533600</v>
      </c>
    </row>
    <row r="84" spans="1:9" ht="12.75" customHeight="1" x14ac:dyDescent="0.2">
      <c r="A84" s="297" t="s">
        <v>122</v>
      </c>
      <c r="B84" s="297"/>
      <c r="C84" s="297"/>
      <c r="D84" s="297"/>
      <c r="E84" s="297"/>
      <c r="F84" s="297"/>
      <c r="G84" s="16">
        <v>76</v>
      </c>
      <c r="H84" s="56">
        <v>0</v>
      </c>
      <c r="I84" s="56">
        <v>0</v>
      </c>
    </row>
    <row r="85" spans="1:9" ht="12.75" customHeight="1" x14ac:dyDescent="0.2">
      <c r="A85" s="298" t="s">
        <v>386</v>
      </c>
      <c r="B85" s="299"/>
      <c r="C85" s="299"/>
      <c r="D85" s="299"/>
      <c r="E85" s="299"/>
      <c r="F85" s="299"/>
      <c r="G85" s="17">
        <v>77</v>
      </c>
      <c r="H85" s="57">
        <f>H86+H87+H88+H89+H90</f>
        <v>81109</v>
      </c>
      <c r="I85" s="57">
        <f>I86+I87+I88+I89+I90</f>
        <v>59111</v>
      </c>
    </row>
    <row r="86" spans="1:9" ht="24.75" customHeight="1" x14ac:dyDescent="0.2">
      <c r="A86" s="286" t="s">
        <v>387</v>
      </c>
      <c r="B86" s="286"/>
      <c r="C86" s="286"/>
      <c r="D86" s="286"/>
      <c r="E86" s="286"/>
      <c r="F86" s="286"/>
      <c r="G86" s="16">
        <v>78</v>
      </c>
      <c r="H86" s="56">
        <v>81109</v>
      </c>
      <c r="I86" s="56">
        <v>59111</v>
      </c>
    </row>
    <row r="87" spans="1:9" ht="12.75" customHeight="1" x14ac:dyDescent="0.2">
      <c r="A87" s="286" t="s">
        <v>123</v>
      </c>
      <c r="B87" s="286"/>
      <c r="C87" s="286"/>
      <c r="D87" s="286"/>
      <c r="E87" s="286"/>
      <c r="F87" s="286"/>
      <c r="G87" s="16">
        <v>79</v>
      </c>
      <c r="H87" s="56">
        <v>0</v>
      </c>
      <c r="I87" s="56">
        <v>0</v>
      </c>
    </row>
    <row r="88" spans="1:9" ht="12.75" customHeight="1" x14ac:dyDescent="0.2">
      <c r="A88" s="286" t="s">
        <v>124</v>
      </c>
      <c r="B88" s="286"/>
      <c r="C88" s="286"/>
      <c r="D88" s="286"/>
      <c r="E88" s="286"/>
      <c r="F88" s="286"/>
      <c r="G88" s="16">
        <v>80</v>
      </c>
      <c r="H88" s="56">
        <v>0</v>
      </c>
      <c r="I88" s="56">
        <v>0</v>
      </c>
    </row>
    <row r="89" spans="1:9" ht="12.75" customHeight="1" x14ac:dyDescent="0.2">
      <c r="A89" s="286" t="s">
        <v>388</v>
      </c>
      <c r="B89" s="286"/>
      <c r="C89" s="286"/>
      <c r="D89" s="286"/>
      <c r="E89" s="286"/>
      <c r="F89" s="286"/>
      <c r="G89" s="16">
        <v>81</v>
      </c>
      <c r="H89" s="56">
        <v>0</v>
      </c>
      <c r="I89" s="56">
        <v>0</v>
      </c>
    </row>
    <row r="90" spans="1:9" ht="25.5" customHeight="1" x14ac:dyDescent="0.2">
      <c r="A90" s="286" t="s">
        <v>389</v>
      </c>
      <c r="B90" s="286"/>
      <c r="C90" s="286"/>
      <c r="D90" s="286"/>
      <c r="E90" s="286"/>
      <c r="F90" s="286"/>
      <c r="G90" s="16">
        <v>82</v>
      </c>
      <c r="H90" s="56">
        <v>0</v>
      </c>
      <c r="I90" s="56">
        <v>0</v>
      </c>
    </row>
    <row r="91" spans="1:9" ht="22.9" customHeight="1" x14ac:dyDescent="0.2">
      <c r="A91" s="298" t="s">
        <v>390</v>
      </c>
      <c r="B91" s="299"/>
      <c r="C91" s="299"/>
      <c r="D91" s="299"/>
      <c r="E91" s="299"/>
      <c r="F91" s="299"/>
      <c r="G91" s="17">
        <v>83</v>
      </c>
      <c r="H91" s="57">
        <f>H92-H93</f>
        <v>538614167</v>
      </c>
      <c r="I91" s="57">
        <f>I92-I93</f>
        <v>701943373</v>
      </c>
    </row>
    <row r="92" spans="1:9" ht="12.75" customHeight="1" x14ac:dyDescent="0.2">
      <c r="A92" s="286" t="s">
        <v>125</v>
      </c>
      <c r="B92" s="286"/>
      <c r="C92" s="286"/>
      <c r="D92" s="286"/>
      <c r="E92" s="286"/>
      <c r="F92" s="286"/>
      <c r="G92" s="16">
        <v>84</v>
      </c>
      <c r="H92" s="56">
        <v>538614167</v>
      </c>
      <c r="I92" s="56">
        <v>701943373</v>
      </c>
    </row>
    <row r="93" spans="1:9" ht="12.75" customHeight="1" x14ac:dyDescent="0.2">
      <c r="A93" s="286" t="s">
        <v>126</v>
      </c>
      <c r="B93" s="286"/>
      <c r="C93" s="286"/>
      <c r="D93" s="286"/>
      <c r="E93" s="286"/>
      <c r="F93" s="286"/>
      <c r="G93" s="16">
        <v>85</v>
      </c>
      <c r="H93" s="56">
        <v>0</v>
      </c>
      <c r="I93" s="56">
        <v>0</v>
      </c>
    </row>
    <row r="94" spans="1:9" ht="12.75" customHeight="1" x14ac:dyDescent="0.2">
      <c r="A94" s="298" t="s">
        <v>391</v>
      </c>
      <c r="B94" s="299"/>
      <c r="C94" s="299"/>
      <c r="D94" s="299"/>
      <c r="E94" s="299"/>
      <c r="F94" s="299"/>
      <c r="G94" s="17">
        <v>86</v>
      </c>
      <c r="H94" s="57">
        <f>H95-H96</f>
        <v>304605806</v>
      </c>
      <c r="I94" s="57">
        <f>I95-I96</f>
        <v>560684341</v>
      </c>
    </row>
    <row r="95" spans="1:9" ht="12.75" customHeight="1" x14ac:dyDescent="0.2">
      <c r="A95" s="286" t="s">
        <v>127</v>
      </c>
      <c r="B95" s="286"/>
      <c r="C95" s="286"/>
      <c r="D95" s="286"/>
      <c r="E95" s="286"/>
      <c r="F95" s="286"/>
      <c r="G95" s="16">
        <v>87</v>
      </c>
      <c r="H95" s="56">
        <v>304605806</v>
      </c>
      <c r="I95" s="56">
        <v>560684341</v>
      </c>
    </row>
    <row r="96" spans="1:9" ht="12.75" customHeight="1" x14ac:dyDescent="0.2">
      <c r="A96" s="286" t="s">
        <v>128</v>
      </c>
      <c r="B96" s="286"/>
      <c r="C96" s="286"/>
      <c r="D96" s="286"/>
      <c r="E96" s="286"/>
      <c r="F96" s="286"/>
      <c r="G96" s="16">
        <v>88</v>
      </c>
      <c r="H96" s="56">
        <v>0</v>
      </c>
      <c r="I96" s="56">
        <v>0</v>
      </c>
    </row>
    <row r="97" spans="1:9" ht="12.75" customHeight="1" x14ac:dyDescent="0.2">
      <c r="A97" s="297" t="s">
        <v>129</v>
      </c>
      <c r="B97" s="297"/>
      <c r="C97" s="297"/>
      <c r="D97" s="297"/>
      <c r="E97" s="297"/>
      <c r="F97" s="297"/>
      <c r="G97" s="16">
        <v>89</v>
      </c>
      <c r="H97" s="56">
        <v>0</v>
      </c>
      <c r="I97" s="56">
        <v>0</v>
      </c>
    </row>
    <row r="98" spans="1:9" ht="12.75" customHeight="1" x14ac:dyDescent="0.2">
      <c r="A98" s="288" t="s">
        <v>392</v>
      </c>
      <c r="B98" s="289"/>
      <c r="C98" s="289"/>
      <c r="D98" s="289"/>
      <c r="E98" s="289"/>
      <c r="F98" s="289"/>
      <c r="G98" s="17">
        <v>90</v>
      </c>
      <c r="H98" s="57">
        <f>SUM(H99:H104)</f>
        <v>134552238</v>
      </c>
      <c r="I98" s="57">
        <f>SUM(I99:I104)</f>
        <v>147878611</v>
      </c>
    </row>
    <row r="99" spans="1:9" ht="25.9" customHeight="1" x14ac:dyDescent="0.2">
      <c r="A99" s="286" t="s">
        <v>130</v>
      </c>
      <c r="B99" s="286"/>
      <c r="C99" s="286"/>
      <c r="D99" s="286"/>
      <c r="E99" s="286"/>
      <c r="F99" s="286"/>
      <c r="G99" s="16">
        <v>91</v>
      </c>
      <c r="H99" s="56">
        <v>24962956</v>
      </c>
      <c r="I99" s="56">
        <v>21600419</v>
      </c>
    </row>
    <row r="100" spans="1:9" ht="12.75" customHeight="1" x14ac:dyDescent="0.2">
      <c r="A100" s="286" t="s">
        <v>131</v>
      </c>
      <c r="B100" s="286"/>
      <c r="C100" s="286"/>
      <c r="D100" s="286"/>
      <c r="E100" s="286"/>
      <c r="F100" s="286"/>
      <c r="G100" s="16">
        <v>92</v>
      </c>
      <c r="H100" s="56">
        <v>0</v>
      </c>
      <c r="I100" s="56">
        <v>0</v>
      </c>
    </row>
    <row r="101" spans="1:9" ht="12.75" customHeight="1" x14ac:dyDescent="0.2">
      <c r="A101" s="286" t="s">
        <v>132</v>
      </c>
      <c r="B101" s="286"/>
      <c r="C101" s="286"/>
      <c r="D101" s="286"/>
      <c r="E101" s="286"/>
      <c r="F101" s="286"/>
      <c r="G101" s="16">
        <v>93</v>
      </c>
      <c r="H101" s="56">
        <v>28843417</v>
      </c>
      <c r="I101" s="56">
        <v>28715050</v>
      </c>
    </row>
    <row r="102" spans="1:9" ht="12.75" customHeight="1" x14ac:dyDescent="0.2">
      <c r="A102" s="286" t="s">
        <v>133</v>
      </c>
      <c r="B102" s="286"/>
      <c r="C102" s="286"/>
      <c r="D102" s="286"/>
      <c r="E102" s="286"/>
      <c r="F102" s="286"/>
      <c r="G102" s="16">
        <v>94</v>
      </c>
      <c r="H102" s="56">
        <v>0</v>
      </c>
      <c r="I102" s="56">
        <v>0</v>
      </c>
    </row>
    <row r="103" spans="1:9" ht="12.75" customHeight="1" x14ac:dyDescent="0.2">
      <c r="A103" s="286" t="s">
        <v>134</v>
      </c>
      <c r="B103" s="286"/>
      <c r="C103" s="286"/>
      <c r="D103" s="286"/>
      <c r="E103" s="286"/>
      <c r="F103" s="286"/>
      <c r="G103" s="16">
        <v>95</v>
      </c>
      <c r="H103" s="56">
        <v>0</v>
      </c>
      <c r="I103" s="56">
        <v>0</v>
      </c>
    </row>
    <row r="104" spans="1:9" ht="12.75" customHeight="1" x14ac:dyDescent="0.2">
      <c r="A104" s="286" t="s">
        <v>135</v>
      </c>
      <c r="B104" s="286"/>
      <c r="C104" s="286"/>
      <c r="D104" s="286"/>
      <c r="E104" s="286"/>
      <c r="F104" s="286"/>
      <c r="G104" s="16">
        <v>96</v>
      </c>
      <c r="H104" s="56">
        <v>80745865</v>
      </c>
      <c r="I104" s="56">
        <v>97563142</v>
      </c>
    </row>
    <row r="105" spans="1:9" ht="12.75" customHeight="1" x14ac:dyDescent="0.2">
      <c r="A105" s="288" t="s">
        <v>393</v>
      </c>
      <c r="B105" s="289"/>
      <c r="C105" s="289"/>
      <c r="D105" s="289"/>
      <c r="E105" s="289"/>
      <c r="F105" s="289"/>
      <c r="G105" s="17">
        <v>97</v>
      </c>
      <c r="H105" s="57">
        <f>SUM(H106:H116)</f>
        <v>2331903180</v>
      </c>
      <c r="I105" s="57">
        <f>SUM(I106:I116)</f>
        <v>1418778030</v>
      </c>
    </row>
    <row r="106" spans="1:9" ht="12.75" customHeight="1" x14ac:dyDescent="0.2">
      <c r="A106" s="286" t="s">
        <v>136</v>
      </c>
      <c r="B106" s="286"/>
      <c r="C106" s="286"/>
      <c r="D106" s="286"/>
      <c r="E106" s="286"/>
      <c r="F106" s="286"/>
      <c r="G106" s="16">
        <v>98</v>
      </c>
      <c r="H106" s="56">
        <v>0</v>
      </c>
      <c r="I106" s="56">
        <v>0</v>
      </c>
    </row>
    <row r="107" spans="1:9" ht="12.75" customHeight="1" x14ac:dyDescent="0.2">
      <c r="A107" s="286" t="s">
        <v>137</v>
      </c>
      <c r="B107" s="286"/>
      <c r="C107" s="286"/>
      <c r="D107" s="286"/>
      <c r="E107" s="286"/>
      <c r="F107" s="286"/>
      <c r="G107" s="16">
        <v>99</v>
      </c>
      <c r="H107" s="56">
        <v>0</v>
      </c>
      <c r="I107" s="56">
        <v>0</v>
      </c>
    </row>
    <row r="108" spans="1:9" ht="24.6" customHeight="1" x14ac:dyDescent="0.2">
      <c r="A108" s="286" t="s">
        <v>138</v>
      </c>
      <c r="B108" s="286"/>
      <c r="C108" s="286"/>
      <c r="D108" s="286"/>
      <c r="E108" s="286"/>
      <c r="F108" s="286"/>
      <c r="G108" s="16">
        <v>100</v>
      </c>
      <c r="H108" s="56">
        <v>0</v>
      </c>
      <c r="I108" s="56">
        <v>0</v>
      </c>
    </row>
    <row r="109" spans="1:9" ht="22.15" customHeight="1" x14ac:dyDescent="0.2">
      <c r="A109" s="286" t="s">
        <v>139</v>
      </c>
      <c r="B109" s="286"/>
      <c r="C109" s="286"/>
      <c r="D109" s="286"/>
      <c r="E109" s="286"/>
      <c r="F109" s="286"/>
      <c r="G109" s="16">
        <v>101</v>
      </c>
      <c r="H109" s="56">
        <v>0</v>
      </c>
      <c r="I109" s="56">
        <v>0</v>
      </c>
    </row>
    <row r="110" spans="1:9" ht="12.75" customHeight="1" x14ac:dyDescent="0.2">
      <c r="A110" s="286" t="s">
        <v>140</v>
      </c>
      <c r="B110" s="286"/>
      <c r="C110" s="286"/>
      <c r="D110" s="286"/>
      <c r="E110" s="286"/>
      <c r="F110" s="286"/>
      <c r="G110" s="16">
        <v>102</v>
      </c>
      <c r="H110" s="56">
        <v>0</v>
      </c>
      <c r="I110" s="56">
        <v>0</v>
      </c>
    </row>
    <row r="111" spans="1:9" ht="12.75" customHeight="1" x14ac:dyDescent="0.2">
      <c r="A111" s="286" t="s">
        <v>141</v>
      </c>
      <c r="B111" s="286"/>
      <c r="C111" s="286"/>
      <c r="D111" s="286"/>
      <c r="E111" s="286"/>
      <c r="F111" s="286"/>
      <c r="G111" s="16">
        <v>103</v>
      </c>
      <c r="H111" s="56">
        <v>2303872723</v>
      </c>
      <c r="I111" s="56">
        <v>1389452135</v>
      </c>
    </row>
    <row r="112" spans="1:9" ht="12.75" customHeight="1" x14ac:dyDescent="0.2">
      <c r="A112" s="286" t="s">
        <v>142</v>
      </c>
      <c r="B112" s="286"/>
      <c r="C112" s="286"/>
      <c r="D112" s="286"/>
      <c r="E112" s="286"/>
      <c r="F112" s="286"/>
      <c r="G112" s="16">
        <v>104</v>
      </c>
      <c r="H112" s="56">
        <v>0</v>
      </c>
      <c r="I112" s="56">
        <v>0</v>
      </c>
    </row>
    <row r="113" spans="1:9" ht="12.75" customHeight="1" x14ac:dyDescent="0.2">
      <c r="A113" s="286" t="s">
        <v>143</v>
      </c>
      <c r="B113" s="286"/>
      <c r="C113" s="286"/>
      <c r="D113" s="286"/>
      <c r="E113" s="286"/>
      <c r="F113" s="286"/>
      <c r="G113" s="16">
        <v>105</v>
      </c>
      <c r="H113" s="56">
        <v>0</v>
      </c>
      <c r="I113" s="56">
        <v>0</v>
      </c>
    </row>
    <row r="114" spans="1:9" ht="12.75" customHeight="1" x14ac:dyDescent="0.2">
      <c r="A114" s="286" t="s">
        <v>144</v>
      </c>
      <c r="B114" s="286"/>
      <c r="C114" s="286"/>
      <c r="D114" s="286"/>
      <c r="E114" s="286"/>
      <c r="F114" s="286"/>
      <c r="G114" s="16">
        <v>106</v>
      </c>
      <c r="H114" s="56">
        <v>0</v>
      </c>
      <c r="I114" s="56">
        <v>0</v>
      </c>
    </row>
    <row r="115" spans="1:9" ht="12.75" customHeight="1" x14ac:dyDescent="0.2">
      <c r="A115" s="286" t="s">
        <v>145</v>
      </c>
      <c r="B115" s="286"/>
      <c r="C115" s="286"/>
      <c r="D115" s="286"/>
      <c r="E115" s="286"/>
      <c r="F115" s="286"/>
      <c r="G115" s="16">
        <v>107</v>
      </c>
      <c r="H115" s="56">
        <v>15575274</v>
      </c>
      <c r="I115" s="56">
        <v>17745142</v>
      </c>
    </row>
    <row r="116" spans="1:9" ht="12.75" customHeight="1" x14ac:dyDescent="0.2">
      <c r="A116" s="286" t="s">
        <v>146</v>
      </c>
      <c r="B116" s="286"/>
      <c r="C116" s="286"/>
      <c r="D116" s="286"/>
      <c r="E116" s="286"/>
      <c r="F116" s="286"/>
      <c r="G116" s="16">
        <v>108</v>
      </c>
      <c r="H116" s="56">
        <v>12455183</v>
      </c>
      <c r="I116" s="56">
        <v>11580753</v>
      </c>
    </row>
    <row r="117" spans="1:9" ht="12.75" customHeight="1" x14ac:dyDescent="0.2">
      <c r="A117" s="288" t="s">
        <v>394</v>
      </c>
      <c r="B117" s="289"/>
      <c r="C117" s="289"/>
      <c r="D117" s="289"/>
      <c r="E117" s="289"/>
      <c r="F117" s="289"/>
      <c r="G117" s="17">
        <v>109</v>
      </c>
      <c r="H117" s="57">
        <f>SUM(H118:H131)</f>
        <v>665431238</v>
      </c>
      <c r="I117" s="57">
        <f>SUM(I118:I131)</f>
        <v>522199157</v>
      </c>
    </row>
    <row r="118" spans="1:9" ht="12.75" customHeight="1" x14ac:dyDescent="0.2">
      <c r="A118" s="286" t="s">
        <v>147</v>
      </c>
      <c r="B118" s="286"/>
      <c r="C118" s="286"/>
      <c r="D118" s="286"/>
      <c r="E118" s="286"/>
      <c r="F118" s="286"/>
      <c r="G118" s="16">
        <v>110</v>
      </c>
      <c r="H118" s="56">
        <v>101669</v>
      </c>
      <c r="I118" s="56">
        <v>221217</v>
      </c>
    </row>
    <row r="119" spans="1:9" ht="12.75" customHeight="1" x14ac:dyDescent="0.2">
      <c r="A119" s="286" t="s">
        <v>148</v>
      </c>
      <c r="B119" s="286"/>
      <c r="C119" s="286"/>
      <c r="D119" s="286"/>
      <c r="E119" s="286"/>
      <c r="F119" s="286"/>
      <c r="G119" s="16">
        <v>111</v>
      </c>
      <c r="H119" s="56">
        <v>0</v>
      </c>
      <c r="I119" s="56">
        <v>0</v>
      </c>
    </row>
    <row r="120" spans="1:9" ht="21.6" customHeight="1" x14ac:dyDescent="0.2">
      <c r="A120" s="286" t="s">
        <v>149</v>
      </c>
      <c r="B120" s="286"/>
      <c r="C120" s="286"/>
      <c r="D120" s="286"/>
      <c r="E120" s="286"/>
      <c r="F120" s="286"/>
      <c r="G120" s="16">
        <v>112</v>
      </c>
      <c r="H120" s="56">
        <v>7389</v>
      </c>
      <c r="I120" s="56">
        <v>18253</v>
      </c>
    </row>
    <row r="121" spans="1:9" ht="25.9" customHeight="1" x14ac:dyDescent="0.2">
      <c r="A121" s="286" t="s">
        <v>150</v>
      </c>
      <c r="B121" s="286"/>
      <c r="C121" s="286"/>
      <c r="D121" s="286"/>
      <c r="E121" s="286"/>
      <c r="F121" s="286"/>
      <c r="G121" s="16">
        <v>113</v>
      </c>
      <c r="H121" s="56">
        <v>0</v>
      </c>
      <c r="I121" s="56">
        <v>0</v>
      </c>
    </row>
    <row r="122" spans="1:9" ht="12.75" customHeight="1" x14ac:dyDescent="0.2">
      <c r="A122" s="286" t="s">
        <v>151</v>
      </c>
      <c r="B122" s="286"/>
      <c r="C122" s="286"/>
      <c r="D122" s="286"/>
      <c r="E122" s="286"/>
      <c r="F122" s="286"/>
      <c r="G122" s="16">
        <v>114</v>
      </c>
      <c r="H122" s="56">
        <v>0</v>
      </c>
      <c r="I122" s="56">
        <v>0</v>
      </c>
    </row>
    <row r="123" spans="1:9" ht="12.75" customHeight="1" x14ac:dyDescent="0.2">
      <c r="A123" s="286" t="s">
        <v>152</v>
      </c>
      <c r="B123" s="286"/>
      <c r="C123" s="286"/>
      <c r="D123" s="286"/>
      <c r="E123" s="286"/>
      <c r="F123" s="286"/>
      <c r="G123" s="16">
        <v>115</v>
      </c>
      <c r="H123" s="56">
        <v>523630896</v>
      </c>
      <c r="I123" s="56">
        <v>385187718</v>
      </c>
    </row>
    <row r="124" spans="1:9" ht="12.75" customHeight="1" x14ac:dyDescent="0.2">
      <c r="A124" s="286" t="s">
        <v>153</v>
      </c>
      <c r="B124" s="286"/>
      <c r="C124" s="286"/>
      <c r="D124" s="286"/>
      <c r="E124" s="286"/>
      <c r="F124" s="286"/>
      <c r="G124" s="16">
        <v>116</v>
      </c>
      <c r="H124" s="56">
        <v>36066605</v>
      </c>
      <c r="I124" s="56">
        <v>28989366</v>
      </c>
    </row>
    <row r="125" spans="1:9" ht="12.75" customHeight="1" x14ac:dyDescent="0.2">
      <c r="A125" s="286" t="s">
        <v>154</v>
      </c>
      <c r="B125" s="286"/>
      <c r="C125" s="286"/>
      <c r="D125" s="286"/>
      <c r="E125" s="286"/>
      <c r="F125" s="286"/>
      <c r="G125" s="16">
        <v>117</v>
      </c>
      <c r="H125" s="56">
        <v>51117222</v>
      </c>
      <c r="I125" s="56">
        <v>58544950</v>
      </c>
    </row>
    <row r="126" spans="1:9" x14ac:dyDescent="0.2">
      <c r="A126" s="286" t="s">
        <v>155</v>
      </c>
      <c r="B126" s="286"/>
      <c r="C126" s="286"/>
      <c r="D126" s="286"/>
      <c r="E126" s="286"/>
      <c r="F126" s="286"/>
      <c r="G126" s="16">
        <v>118</v>
      </c>
      <c r="H126" s="56">
        <v>0</v>
      </c>
      <c r="I126" s="56">
        <v>0</v>
      </c>
    </row>
    <row r="127" spans="1:9" x14ac:dyDescent="0.2">
      <c r="A127" s="286" t="s">
        <v>156</v>
      </c>
      <c r="B127" s="286"/>
      <c r="C127" s="286"/>
      <c r="D127" s="286"/>
      <c r="E127" s="286"/>
      <c r="F127" s="286"/>
      <c r="G127" s="16">
        <v>119</v>
      </c>
      <c r="H127" s="56">
        <v>24804908</v>
      </c>
      <c r="I127" s="56">
        <v>25948438</v>
      </c>
    </row>
    <row r="128" spans="1:9" x14ac:dyDescent="0.2">
      <c r="A128" s="286" t="s">
        <v>157</v>
      </c>
      <c r="B128" s="286"/>
      <c r="C128" s="286"/>
      <c r="D128" s="286"/>
      <c r="E128" s="286"/>
      <c r="F128" s="286"/>
      <c r="G128" s="16">
        <v>120</v>
      </c>
      <c r="H128" s="56">
        <v>14661562</v>
      </c>
      <c r="I128" s="56">
        <v>10515075</v>
      </c>
    </row>
    <row r="129" spans="1:9" x14ac:dyDescent="0.2">
      <c r="A129" s="286" t="s">
        <v>158</v>
      </c>
      <c r="B129" s="286"/>
      <c r="C129" s="286"/>
      <c r="D129" s="286"/>
      <c r="E129" s="286"/>
      <c r="F129" s="286"/>
      <c r="G129" s="16">
        <v>121</v>
      </c>
      <c r="H129" s="56">
        <v>0</v>
      </c>
      <c r="I129" s="56">
        <v>0</v>
      </c>
    </row>
    <row r="130" spans="1:9" x14ac:dyDescent="0.2">
      <c r="A130" s="286" t="s">
        <v>159</v>
      </c>
      <c r="B130" s="286"/>
      <c r="C130" s="286"/>
      <c r="D130" s="286"/>
      <c r="E130" s="286"/>
      <c r="F130" s="286"/>
      <c r="G130" s="16">
        <v>122</v>
      </c>
      <c r="H130" s="56">
        <v>0</v>
      </c>
      <c r="I130" s="56">
        <v>0</v>
      </c>
    </row>
    <row r="131" spans="1:9" x14ac:dyDescent="0.2">
      <c r="A131" s="286" t="s">
        <v>160</v>
      </c>
      <c r="B131" s="286"/>
      <c r="C131" s="286"/>
      <c r="D131" s="286"/>
      <c r="E131" s="286"/>
      <c r="F131" s="286"/>
      <c r="G131" s="16">
        <v>123</v>
      </c>
      <c r="H131" s="56">
        <v>15040987</v>
      </c>
      <c r="I131" s="56">
        <v>12774140</v>
      </c>
    </row>
    <row r="132" spans="1:9" ht="22.15" customHeight="1" x14ac:dyDescent="0.2">
      <c r="A132" s="287" t="s">
        <v>161</v>
      </c>
      <c r="B132" s="287"/>
      <c r="C132" s="287"/>
      <c r="D132" s="287"/>
      <c r="E132" s="287"/>
      <c r="F132" s="287"/>
      <c r="G132" s="16">
        <v>124</v>
      </c>
      <c r="H132" s="56">
        <v>78829556</v>
      </c>
      <c r="I132" s="56">
        <v>59403172</v>
      </c>
    </row>
    <row r="133" spans="1:9" x14ac:dyDescent="0.2">
      <c r="A133" s="288" t="s">
        <v>395</v>
      </c>
      <c r="B133" s="289"/>
      <c r="C133" s="289"/>
      <c r="D133" s="289"/>
      <c r="E133" s="289"/>
      <c r="F133" s="289"/>
      <c r="G133" s="17">
        <v>125</v>
      </c>
      <c r="H133" s="57">
        <f>H75+H98+H105+H117+H132</f>
        <v>5829996618</v>
      </c>
      <c r="I133" s="57">
        <f>I75+I98+I105+I117+I132</f>
        <v>5223209247</v>
      </c>
    </row>
    <row r="134" spans="1:9" x14ac:dyDescent="0.2">
      <c r="A134" s="290" t="s">
        <v>162</v>
      </c>
      <c r="B134" s="290"/>
      <c r="C134" s="290"/>
      <c r="D134" s="290"/>
      <c r="E134" s="290"/>
      <c r="F134" s="290"/>
      <c r="G134" s="19">
        <v>126</v>
      </c>
      <c r="H134" s="58">
        <v>54173148</v>
      </c>
      <c r="I134" s="58">
        <v>54125549</v>
      </c>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55" zoomScaleNormal="100" zoomScaleSheetLayoutView="110" workbookViewId="0">
      <selection activeCell="K106" sqref="K106"/>
    </sheetView>
  </sheetViews>
  <sheetFormatPr defaultRowHeight="12.75" x14ac:dyDescent="0.2"/>
  <cols>
    <col min="1" max="7" width="9.140625" style="11"/>
    <col min="8" max="9" width="19.42578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60" t="s">
        <v>163</v>
      </c>
      <c r="B1" s="312"/>
      <c r="C1" s="312"/>
      <c r="D1" s="312"/>
      <c r="E1" s="312"/>
      <c r="F1" s="312"/>
      <c r="G1" s="312"/>
      <c r="H1" s="312"/>
      <c r="I1" s="312"/>
    </row>
    <row r="2" spans="1:9" x14ac:dyDescent="0.2">
      <c r="A2" s="359" t="s">
        <v>518</v>
      </c>
      <c r="B2" s="314"/>
      <c r="C2" s="314"/>
      <c r="D2" s="314"/>
      <c r="E2" s="314"/>
      <c r="F2" s="314"/>
      <c r="G2" s="314"/>
      <c r="H2" s="314"/>
      <c r="I2" s="314"/>
    </row>
    <row r="3" spans="1:9" x14ac:dyDescent="0.2">
      <c r="A3" s="348" t="s">
        <v>164</v>
      </c>
      <c r="B3" s="349"/>
      <c r="C3" s="349"/>
      <c r="D3" s="349"/>
      <c r="E3" s="349"/>
      <c r="F3" s="349"/>
      <c r="G3" s="349"/>
      <c r="H3" s="349"/>
      <c r="I3" s="349"/>
    </row>
    <row r="4" spans="1:9" x14ac:dyDescent="0.2">
      <c r="A4" s="358" t="s">
        <v>519</v>
      </c>
      <c r="B4" s="321"/>
      <c r="C4" s="321"/>
      <c r="D4" s="321"/>
      <c r="E4" s="321"/>
      <c r="F4" s="321"/>
      <c r="G4" s="321"/>
      <c r="H4" s="321"/>
      <c r="I4" s="322"/>
    </row>
    <row r="5" spans="1:9" ht="24" thickBot="1" x14ac:dyDescent="0.25">
      <c r="A5" s="356" t="s">
        <v>165</v>
      </c>
      <c r="B5" s="327"/>
      <c r="C5" s="327"/>
      <c r="D5" s="327"/>
      <c r="E5" s="327"/>
      <c r="F5" s="328"/>
      <c r="G5" s="12" t="s">
        <v>166</v>
      </c>
      <c r="H5" s="44" t="s">
        <v>167</v>
      </c>
      <c r="I5" s="44" t="s">
        <v>168</v>
      </c>
    </row>
    <row r="6" spans="1:9" x14ac:dyDescent="0.2">
      <c r="A6" s="357">
        <v>1</v>
      </c>
      <c r="B6" s="324"/>
      <c r="C6" s="324"/>
      <c r="D6" s="324"/>
      <c r="E6" s="324"/>
      <c r="F6" s="325"/>
      <c r="G6" s="14">
        <v>2</v>
      </c>
      <c r="H6" s="20">
        <v>3</v>
      </c>
      <c r="I6" s="20">
        <v>4</v>
      </c>
    </row>
    <row r="7" spans="1:9" x14ac:dyDescent="0.2">
      <c r="A7" s="354" t="s">
        <v>465</v>
      </c>
      <c r="B7" s="355"/>
      <c r="C7" s="355"/>
      <c r="D7" s="355"/>
      <c r="E7" s="355"/>
      <c r="F7" s="355"/>
      <c r="G7" s="24">
        <v>1</v>
      </c>
      <c r="H7" s="61">
        <f>SUM(H8:H12)</f>
        <v>1670374528</v>
      </c>
      <c r="I7" s="61">
        <f>SUM(I8:I12)</f>
        <v>2424408191</v>
      </c>
    </row>
    <row r="8" spans="1:9" x14ac:dyDescent="0.2">
      <c r="A8" s="286" t="s">
        <v>169</v>
      </c>
      <c r="B8" s="286"/>
      <c r="C8" s="286"/>
      <c r="D8" s="286"/>
      <c r="E8" s="286"/>
      <c r="F8" s="286"/>
      <c r="G8" s="16">
        <v>2</v>
      </c>
      <c r="H8" s="56">
        <v>31631791</v>
      </c>
      <c r="I8" s="56">
        <v>80615533</v>
      </c>
    </row>
    <row r="9" spans="1:9" x14ac:dyDescent="0.2">
      <c r="A9" s="286" t="s">
        <v>170</v>
      </c>
      <c r="B9" s="286"/>
      <c r="C9" s="286"/>
      <c r="D9" s="286"/>
      <c r="E9" s="286"/>
      <c r="F9" s="286"/>
      <c r="G9" s="16">
        <v>3</v>
      </c>
      <c r="H9" s="56">
        <v>1329300465</v>
      </c>
      <c r="I9" s="56">
        <v>1836670630</v>
      </c>
    </row>
    <row r="10" spans="1:9" x14ac:dyDescent="0.2">
      <c r="A10" s="286" t="s">
        <v>171</v>
      </c>
      <c r="B10" s="286"/>
      <c r="C10" s="286"/>
      <c r="D10" s="286"/>
      <c r="E10" s="286"/>
      <c r="F10" s="286"/>
      <c r="G10" s="16">
        <v>4</v>
      </c>
      <c r="H10" s="56">
        <v>233998</v>
      </c>
      <c r="I10" s="56">
        <v>405167</v>
      </c>
    </row>
    <row r="11" spans="1:9" x14ac:dyDescent="0.2">
      <c r="A11" s="286" t="s">
        <v>172</v>
      </c>
      <c r="B11" s="286"/>
      <c r="C11" s="286"/>
      <c r="D11" s="286"/>
      <c r="E11" s="286"/>
      <c r="F11" s="286"/>
      <c r="G11" s="16">
        <v>5</v>
      </c>
      <c r="H11" s="56">
        <v>281037544</v>
      </c>
      <c r="I11" s="56">
        <v>474455043</v>
      </c>
    </row>
    <row r="12" spans="1:9" x14ac:dyDescent="0.2">
      <c r="A12" s="286" t="s">
        <v>173</v>
      </c>
      <c r="B12" s="286"/>
      <c r="C12" s="286"/>
      <c r="D12" s="286"/>
      <c r="E12" s="286"/>
      <c r="F12" s="286"/>
      <c r="G12" s="16">
        <v>6</v>
      </c>
      <c r="H12" s="56">
        <v>28170730</v>
      </c>
      <c r="I12" s="56">
        <v>32261818</v>
      </c>
    </row>
    <row r="13" spans="1:9" ht="22.15" customHeight="1" x14ac:dyDescent="0.2">
      <c r="A13" s="288" t="s">
        <v>466</v>
      </c>
      <c r="B13" s="289"/>
      <c r="C13" s="289"/>
      <c r="D13" s="289"/>
      <c r="E13" s="289"/>
      <c r="F13" s="289"/>
      <c r="G13" s="17">
        <v>7</v>
      </c>
      <c r="H13" s="57">
        <f>H14+H15+H19+H23+H24+H25+H28+H35</f>
        <v>1255329580</v>
      </c>
      <c r="I13" s="57">
        <f>I14+I15+I19+I23+I24+I25+I28+I35</f>
        <v>1766000713</v>
      </c>
    </row>
    <row r="14" spans="1:9" x14ac:dyDescent="0.2">
      <c r="A14" s="286" t="s">
        <v>174</v>
      </c>
      <c r="B14" s="286"/>
      <c r="C14" s="286"/>
      <c r="D14" s="286"/>
      <c r="E14" s="286"/>
      <c r="F14" s="286"/>
      <c r="G14" s="16">
        <v>8</v>
      </c>
      <c r="H14" s="56">
        <v>0</v>
      </c>
      <c r="I14" s="56">
        <v>0</v>
      </c>
    </row>
    <row r="15" spans="1:9" x14ac:dyDescent="0.2">
      <c r="A15" s="347" t="s">
        <v>467</v>
      </c>
      <c r="B15" s="347"/>
      <c r="C15" s="347"/>
      <c r="D15" s="347"/>
      <c r="E15" s="347"/>
      <c r="F15" s="347"/>
      <c r="G15" s="17">
        <v>9</v>
      </c>
      <c r="H15" s="57">
        <f>SUM(H16:H18)</f>
        <v>396119584</v>
      </c>
      <c r="I15" s="57">
        <f>SUM(I16:I18)</f>
        <v>627288999</v>
      </c>
    </row>
    <row r="16" spans="1:9" x14ac:dyDescent="0.2">
      <c r="A16" s="346" t="s">
        <v>175</v>
      </c>
      <c r="B16" s="346"/>
      <c r="C16" s="346"/>
      <c r="D16" s="346"/>
      <c r="E16" s="346"/>
      <c r="F16" s="346"/>
      <c r="G16" s="16">
        <v>10</v>
      </c>
      <c r="H16" s="56">
        <v>211804737</v>
      </c>
      <c r="I16" s="56">
        <v>380236141</v>
      </c>
    </row>
    <row r="17" spans="1:9" x14ac:dyDescent="0.2">
      <c r="A17" s="346" t="s">
        <v>176</v>
      </c>
      <c r="B17" s="346"/>
      <c r="C17" s="346"/>
      <c r="D17" s="346"/>
      <c r="E17" s="346"/>
      <c r="F17" s="346"/>
      <c r="G17" s="16">
        <v>11</v>
      </c>
      <c r="H17" s="56">
        <v>10230447</v>
      </c>
      <c r="I17" s="56">
        <v>17888287</v>
      </c>
    </row>
    <row r="18" spans="1:9" x14ac:dyDescent="0.2">
      <c r="A18" s="346" t="s">
        <v>177</v>
      </c>
      <c r="B18" s="346"/>
      <c r="C18" s="346"/>
      <c r="D18" s="346"/>
      <c r="E18" s="346"/>
      <c r="F18" s="346"/>
      <c r="G18" s="16">
        <v>12</v>
      </c>
      <c r="H18" s="56">
        <v>174084400</v>
      </c>
      <c r="I18" s="56">
        <v>229164571</v>
      </c>
    </row>
    <row r="19" spans="1:9" x14ac:dyDescent="0.2">
      <c r="A19" s="347" t="s">
        <v>468</v>
      </c>
      <c r="B19" s="347"/>
      <c r="C19" s="347"/>
      <c r="D19" s="347"/>
      <c r="E19" s="347"/>
      <c r="F19" s="347"/>
      <c r="G19" s="17">
        <v>13</v>
      </c>
      <c r="H19" s="57">
        <f>SUM(H20:H22)</f>
        <v>301251199</v>
      </c>
      <c r="I19" s="57">
        <f>SUM(I20:I22)</f>
        <v>557626443</v>
      </c>
    </row>
    <row r="20" spans="1:9" x14ac:dyDescent="0.2">
      <c r="A20" s="346" t="s">
        <v>178</v>
      </c>
      <c r="B20" s="346"/>
      <c r="C20" s="346"/>
      <c r="D20" s="346"/>
      <c r="E20" s="346"/>
      <c r="F20" s="346"/>
      <c r="G20" s="16">
        <v>14</v>
      </c>
      <c r="H20" s="56">
        <v>185544244</v>
      </c>
      <c r="I20" s="56">
        <v>361680797</v>
      </c>
    </row>
    <row r="21" spans="1:9" x14ac:dyDescent="0.2">
      <c r="A21" s="346" t="s">
        <v>179</v>
      </c>
      <c r="B21" s="346"/>
      <c r="C21" s="346"/>
      <c r="D21" s="346"/>
      <c r="E21" s="346"/>
      <c r="F21" s="346"/>
      <c r="G21" s="16">
        <v>15</v>
      </c>
      <c r="H21" s="56">
        <v>76418573</v>
      </c>
      <c r="I21" s="56">
        <v>129990926</v>
      </c>
    </row>
    <row r="22" spans="1:9" x14ac:dyDescent="0.2">
      <c r="A22" s="346" t="s">
        <v>180</v>
      </c>
      <c r="B22" s="346"/>
      <c r="C22" s="346"/>
      <c r="D22" s="346"/>
      <c r="E22" s="346"/>
      <c r="F22" s="346"/>
      <c r="G22" s="16">
        <v>16</v>
      </c>
      <c r="H22" s="56">
        <v>39288382</v>
      </c>
      <c r="I22" s="56">
        <v>65954720</v>
      </c>
    </row>
    <row r="23" spans="1:9" x14ac:dyDescent="0.2">
      <c r="A23" s="286" t="s">
        <v>181</v>
      </c>
      <c r="B23" s="286"/>
      <c r="C23" s="286"/>
      <c r="D23" s="286"/>
      <c r="E23" s="286"/>
      <c r="F23" s="286"/>
      <c r="G23" s="16">
        <v>17</v>
      </c>
      <c r="H23" s="56">
        <v>397597196</v>
      </c>
      <c r="I23" s="56">
        <v>369413354</v>
      </c>
    </row>
    <row r="24" spans="1:9" x14ac:dyDescent="0.2">
      <c r="A24" s="286" t="s">
        <v>182</v>
      </c>
      <c r="B24" s="286"/>
      <c r="C24" s="286"/>
      <c r="D24" s="286"/>
      <c r="E24" s="286"/>
      <c r="F24" s="286"/>
      <c r="G24" s="16">
        <v>18</v>
      </c>
      <c r="H24" s="56">
        <v>113160696</v>
      </c>
      <c r="I24" s="56">
        <v>185195783</v>
      </c>
    </row>
    <row r="25" spans="1:9" x14ac:dyDescent="0.2">
      <c r="A25" s="347" t="s">
        <v>469</v>
      </c>
      <c r="B25" s="347"/>
      <c r="C25" s="347"/>
      <c r="D25" s="347"/>
      <c r="E25" s="347"/>
      <c r="F25" s="347"/>
      <c r="G25" s="17">
        <v>19</v>
      </c>
      <c r="H25" s="57">
        <f>H26+H27</f>
        <v>1646054</v>
      </c>
      <c r="I25" s="57">
        <f>I26+I27</f>
        <v>247576</v>
      </c>
    </row>
    <row r="26" spans="1:9" x14ac:dyDescent="0.2">
      <c r="A26" s="346" t="s">
        <v>183</v>
      </c>
      <c r="B26" s="346"/>
      <c r="C26" s="346"/>
      <c r="D26" s="346"/>
      <c r="E26" s="346"/>
      <c r="F26" s="346"/>
      <c r="G26" s="16">
        <v>20</v>
      </c>
      <c r="H26" s="56">
        <v>0</v>
      </c>
      <c r="I26" s="56">
        <v>0</v>
      </c>
    </row>
    <row r="27" spans="1:9" x14ac:dyDescent="0.2">
      <c r="A27" s="346" t="s">
        <v>184</v>
      </c>
      <c r="B27" s="346"/>
      <c r="C27" s="346"/>
      <c r="D27" s="346"/>
      <c r="E27" s="346"/>
      <c r="F27" s="346"/>
      <c r="G27" s="16">
        <v>21</v>
      </c>
      <c r="H27" s="56">
        <v>1646054</v>
      </c>
      <c r="I27" s="56">
        <v>247576</v>
      </c>
    </row>
    <row r="28" spans="1:9" x14ac:dyDescent="0.2">
      <c r="A28" s="347" t="s">
        <v>470</v>
      </c>
      <c r="B28" s="347"/>
      <c r="C28" s="347"/>
      <c r="D28" s="347"/>
      <c r="E28" s="347"/>
      <c r="F28" s="347"/>
      <c r="G28" s="17">
        <v>22</v>
      </c>
      <c r="H28" s="57">
        <f>SUM(H29:H34)</f>
        <v>36609347</v>
      </c>
      <c r="I28" s="57">
        <f>SUM(I29:I34)</f>
        <v>18815525</v>
      </c>
    </row>
    <row r="29" spans="1:9" x14ac:dyDescent="0.2">
      <c r="A29" s="346" t="s">
        <v>185</v>
      </c>
      <c r="B29" s="346"/>
      <c r="C29" s="346"/>
      <c r="D29" s="346"/>
      <c r="E29" s="346"/>
      <c r="F29" s="346"/>
      <c r="G29" s="16">
        <v>23</v>
      </c>
      <c r="H29" s="56">
        <v>9293175</v>
      </c>
      <c r="I29" s="56">
        <v>2929400</v>
      </c>
    </row>
    <row r="30" spans="1:9" x14ac:dyDescent="0.2">
      <c r="A30" s="346" t="s">
        <v>186</v>
      </c>
      <c r="B30" s="346"/>
      <c r="C30" s="346"/>
      <c r="D30" s="346"/>
      <c r="E30" s="346"/>
      <c r="F30" s="346"/>
      <c r="G30" s="16">
        <v>24</v>
      </c>
      <c r="H30" s="56">
        <v>0</v>
      </c>
      <c r="I30" s="56">
        <v>0</v>
      </c>
    </row>
    <row r="31" spans="1:9" x14ac:dyDescent="0.2">
      <c r="A31" s="346" t="s">
        <v>187</v>
      </c>
      <c r="B31" s="346"/>
      <c r="C31" s="346"/>
      <c r="D31" s="346"/>
      <c r="E31" s="346"/>
      <c r="F31" s="346"/>
      <c r="G31" s="16">
        <v>25</v>
      </c>
      <c r="H31" s="56">
        <v>2487712</v>
      </c>
      <c r="I31" s="56">
        <v>989049</v>
      </c>
    </row>
    <row r="32" spans="1:9" x14ac:dyDescent="0.2">
      <c r="A32" s="346" t="s">
        <v>188</v>
      </c>
      <c r="B32" s="346"/>
      <c r="C32" s="346"/>
      <c r="D32" s="346"/>
      <c r="E32" s="346"/>
      <c r="F32" s="346"/>
      <c r="G32" s="16">
        <v>26</v>
      </c>
      <c r="H32" s="56">
        <v>0</v>
      </c>
      <c r="I32" s="56">
        <v>0</v>
      </c>
    </row>
    <row r="33" spans="1:9" x14ac:dyDescent="0.2">
      <c r="A33" s="346" t="s">
        <v>189</v>
      </c>
      <c r="B33" s="346"/>
      <c r="C33" s="346"/>
      <c r="D33" s="346"/>
      <c r="E33" s="346"/>
      <c r="F33" s="346"/>
      <c r="G33" s="16">
        <v>27</v>
      </c>
      <c r="H33" s="56">
        <v>0</v>
      </c>
      <c r="I33" s="56">
        <v>0</v>
      </c>
    </row>
    <row r="34" spans="1:9" x14ac:dyDescent="0.2">
      <c r="A34" s="346" t="s">
        <v>190</v>
      </c>
      <c r="B34" s="346"/>
      <c r="C34" s="346"/>
      <c r="D34" s="346"/>
      <c r="E34" s="346"/>
      <c r="F34" s="346"/>
      <c r="G34" s="16">
        <v>28</v>
      </c>
      <c r="H34" s="56">
        <v>24828460</v>
      </c>
      <c r="I34" s="56">
        <v>14897076</v>
      </c>
    </row>
    <row r="35" spans="1:9" x14ac:dyDescent="0.2">
      <c r="A35" s="286" t="s">
        <v>191</v>
      </c>
      <c r="B35" s="286"/>
      <c r="C35" s="286"/>
      <c r="D35" s="286"/>
      <c r="E35" s="286"/>
      <c r="F35" s="286"/>
      <c r="G35" s="16">
        <v>29</v>
      </c>
      <c r="H35" s="56">
        <v>8945504</v>
      </c>
      <c r="I35" s="56">
        <v>7413033</v>
      </c>
    </row>
    <row r="36" spans="1:9" x14ac:dyDescent="0.2">
      <c r="A36" s="288" t="s">
        <v>471</v>
      </c>
      <c r="B36" s="289"/>
      <c r="C36" s="289"/>
      <c r="D36" s="289"/>
      <c r="E36" s="289"/>
      <c r="F36" s="289"/>
      <c r="G36" s="17">
        <v>30</v>
      </c>
      <c r="H36" s="57">
        <f>SUM(H37:H46)</f>
        <v>21059327</v>
      </c>
      <c r="I36" s="57">
        <f>SUM(I37:I46)</f>
        <v>70947352</v>
      </c>
    </row>
    <row r="37" spans="1:9" ht="27.6" customHeight="1" x14ac:dyDescent="0.2">
      <c r="A37" s="286" t="s">
        <v>192</v>
      </c>
      <c r="B37" s="286"/>
      <c r="C37" s="286"/>
      <c r="D37" s="286"/>
      <c r="E37" s="286"/>
      <c r="F37" s="286"/>
      <c r="G37" s="16">
        <v>31</v>
      </c>
      <c r="H37" s="56">
        <v>0</v>
      </c>
      <c r="I37" s="56">
        <v>36831102</v>
      </c>
    </row>
    <row r="38" spans="1:9" ht="25.15" customHeight="1" x14ac:dyDescent="0.2">
      <c r="A38" s="286" t="s">
        <v>193</v>
      </c>
      <c r="B38" s="286"/>
      <c r="C38" s="286"/>
      <c r="D38" s="286"/>
      <c r="E38" s="286"/>
      <c r="F38" s="286"/>
      <c r="G38" s="16">
        <v>32</v>
      </c>
      <c r="H38" s="56">
        <v>0</v>
      </c>
      <c r="I38" s="56">
        <v>0</v>
      </c>
    </row>
    <row r="39" spans="1:9" ht="28.15" customHeight="1" x14ac:dyDescent="0.2">
      <c r="A39" s="286" t="s">
        <v>194</v>
      </c>
      <c r="B39" s="286"/>
      <c r="C39" s="286"/>
      <c r="D39" s="286"/>
      <c r="E39" s="286"/>
      <c r="F39" s="286"/>
      <c r="G39" s="16">
        <v>33</v>
      </c>
      <c r="H39" s="56">
        <v>0</v>
      </c>
      <c r="I39" s="56">
        <v>0</v>
      </c>
    </row>
    <row r="40" spans="1:9" ht="28.15" customHeight="1" x14ac:dyDescent="0.2">
      <c r="A40" s="286" t="s">
        <v>195</v>
      </c>
      <c r="B40" s="286"/>
      <c r="C40" s="286"/>
      <c r="D40" s="286"/>
      <c r="E40" s="286"/>
      <c r="F40" s="286"/>
      <c r="G40" s="16">
        <v>34</v>
      </c>
      <c r="H40" s="56">
        <v>0</v>
      </c>
      <c r="I40" s="56">
        <v>0</v>
      </c>
    </row>
    <row r="41" spans="1:9" ht="22.9" customHeight="1" x14ac:dyDescent="0.2">
      <c r="A41" s="286" t="s">
        <v>196</v>
      </c>
      <c r="B41" s="286"/>
      <c r="C41" s="286"/>
      <c r="D41" s="286"/>
      <c r="E41" s="286"/>
      <c r="F41" s="286"/>
      <c r="G41" s="16">
        <v>35</v>
      </c>
      <c r="H41" s="56">
        <v>0</v>
      </c>
      <c r="I41" s="56">
        <v>1424210</v>
      </c>
    </row>
    <row r="42" spans="1:9" x14ac:dyDescent="0.2">
      <c r="A42" s="286" t="s">
        <v>197</v>
      </c>
      <c r="B42" s="286"/>
      <c r="C42" s="286"/>
      <c r="D42" s="286"/>
      <c r="E42" s="286"/>
      <c r="F42" s="286"/>
      <c r="G42" s="16">
        <v>36</v>
      </c>
      <c r="H42" s="56">
        <v>0</v>
      </c>
      <c r="I42" s="56">
        <v>0</v>
      </c>
    </row>
    <row r="43" spans="1:9" x14ac:dyDescent="0.2">
      <c r="A43" s="286" t="s">
        <v>198</v>
      </c>
      <c r="B43" s="286"/>
      <c r="C43" s="286"/>
      <c r="D43" s="286"/>
      <c r="E43" s="286"/>
      <c r="F43" s="286"/>
      <c r="G43" s="16">
        <v>37</v>
      </c>
      <c r="H43" s="56">
        <v>291847</v>
      </c>
      <c r="I43" s="56">
        <v>231926</v>
      </c>
    </row>
    <row r="44" spans="1:9" x14ac:dyDescent="0.2">
      <c r="A44" s="286" t="s">
        <v>199</v>
      </c>
      <c r="B44" s="286"/>
      <c r="C44" s="286"/>
      <c r="D44" s="286"/>
      <c r="E44" s="286"/>
      <c r="F44" s="286"/>
      <c r="G44" s="16">
        <v>38</v>
      </c>
      <c r="H44" s="56">
        <v>10791830</v>
      </c>
      <c r="I44" s="56">
        <v>4438307</v>
      </c>
    </row>
    <row r="45" spans="1:9" x14ac:dyDescent="0.2">
      <c r="A45" s="286" t="s">
        <v>200</v>
      </c>
      <c r="B45" s="286"/>
      <c r="C45" s="286"/>
      <c r="D45" s="286"/>
      <c r="E45" s="286"/>
      <c r="F45" s="286"/>
      <c r="G45" s="16">
        <v>39</v>
      </c>
      <c r="H45" s="56">
        <v>4503562</v>
      </c>
      <c r="I45" s="56">
        <v>22967126</v>
      </c>
    </row>
    <row r="46" spans="1:9" x14ac:dyDescent="0.2">
      <c r="A46" s="286" t="s">
        <v>201</v>
      </c>
      <c r="B46" s="286"/>
      <c r="C46" s="286"/>
      <c r="D46" s="286"/>
      <c r="E46" s="286"/>
      <c r="F46" s="286"/>
      <c r="G46" s="16">
        <v>40</v>
      </c>
      <c r="H46" s="56">
        <v>5472088</v>
      </c>
      <c r="I46" s="56">
        <v>5054681</v>
      </c>
    </row>
    <row r="47" spans="1:9" x14ac:dyDescent="0.2">
      <c r="A47" s="288" t="s">
        <v>472</v>
      </c>
      <c r="B47" s="289"/>
      <c r="C47" s="289"/>
      <c r="D47" s="289"/>
      <c r="E47" s="289"/>
      <c r="F47" s="289"/>
      <c r="G47" s="17">
        <v>41</v>
      </c>
      <c r="H47" s="57">
        <f>SUM(H48:H54)</f>
        <v>64980124</v>
      </c>
      <c r="I47" s="57">
        <f>SUM(I48:I54)</f>
        <v>57075448</v>
      </c>
    </row>
    <row r="48" spans="1:9" ht="23.45" customHeight="1" x14ac:dyDescent="0.2">
      <c r="A48" s="286" t="s">
        <v>202</v>
      </c>
      <c r="B48" s="286"/>
      <c r="C48" s="286"/>
      <c r="D48" s="286"/>
      <c r="E48" s="286"/>
      <c r="F48" s="286"/>
      <c r="G48" s="16">
        <v>42</v>
      </c>
      <c r="H48" s="56">
        <v>0</v>
      </c>
      <c r="I48" s="56">
        <v>0</v>
      </c>
    </row>
    <row r="49" spans="1:9" ht="22.15" customHeight="1" x14ac:dyDescent="0.2">
      <c r="A49" s="344" t="s">
        <v>203</v>
      </c>
      <c r="B49" s="344"/>
      <c r="C49" s="344"/>
      <c r="D49" s="344"/>
      <c r="E49" s="344"/>
      <c r="F49" s="344"/>
      <c r="G49" s="16">
        <v>43</v>
      </c>
      <c r="H49" s="56">
        <v>0</v>
      </c>
      <c r="I49" s="56">
        <v>0</v>
      </c>
    </row>
    <row r="50" spans="1:9" x14ac:dyDescent="0.2">
      <c r="A50" s="344" t="s">
        <v>204</v>
      </c>
      <c r="B50" s="344"/>
      <c r="C50" s="344"/>
      <c r="D50" s="344"/>
      <c r="E50" s="344"/>
      <c r="F50" s="344"/>
      <c r="G50" s="16">
        <v>44</v>
      </c>
      <c r="H50" s="56">
        <v>60092169</v>
      </c>
      <c r="I50" s="56">
        <v>43515369</v>
      </c>
    </row>
    <row r="51" spans="1:9" x14ac:dyDescent="0.2">
      <c r="A51" s="344" t="s">
        <v>205</v>
      </c>
      <c r="B51" s="344"/>
      <c r="C51" s="344"/>
      <c r="D51" s="344"/>
      <c r="E51" s="344"/>
      <c r="F51" s="344"/>
      <c r="G51" s="16">
        <v>45</v>
      </c>
      <c r="H51" s="56">
        <v>0</v>
      </c>
      <c r="I51" s="56">
        <v>6222081</v>
      </c>
    </row>
    <row r="52" spans="1:9" x14ac:dyDescent="0.2">
      <c r="A52" s="344" t="s">
        <v>206</v>
      </c>
      <c r="B52" s="344"/>
      <c r="C52" s="344"/>
      <c r="D52" s="344"/>
      <c r="E52" s="344"/>
      <c r="F52" s="344"/>
      <c r="G52" s="16">
        <v>46</v>
      </c>
      <c r="H52" s="56">
        <v>0</v>
      </c>
      <c r="I52" s="56">
        <v>0</v>
      </c>
    </row>
    <row r="53" spans="1:9" x14ac:dyDescent="0.2">
      <c r="A53" s="344" t="s">
        <v>207</v>
      </c>
      <c r="B53" s="344"/>
      <c r="C53" s="344"/>
      <c r="D53" s="344"/>
      <c r="E53" s="344"/>
      <c r="F53" s="344"/>
      <c r="G53" s="16">
        <v>47</v>
      </c>
      <c r="H53" s="56">
        <v>0</v>
      </c>
      <c r="I53" s="56">
        <v>0</v>
      </c>
    </row>
    <row r="54" spans="1:9" x14ac:dyDescent="0.2">
      <c r="A54" s="344" t="s">
        <v>208</v>
      </c>
      <c r="B54" s="344"/>
      <c r="C54" s="344"/>
      <c r="D54" s="344"/>
      <c r="E54" s="344"/>
      <c r="F54" s="344"/>
      <c r="G54" s="16">
        <v>48</v>
      </c>
      <c r="H54" s="56">
        <v>4887955</v>
      </c>
      <c r="I54" s="56">
        <v>7337998</v>
      </c>
    </row>
    <row r="55" spans="1:9" ht="30.6" customHeight="1" x14ac:dyDescent="0.2">
      <c r="A55" s="287" t="s">
        <v>209</v>
      </c>
      <c r="B55" s="287"/>
      <c r="C55" s="287"/>
      <c r="D55" s="287"/>
      <c r="E55" s="287"/>
      <c r="F55" s="287"/>
      <c r="G55" s="16">
        <v>49</v>
      </c>
      <c r="H55" s="56">
        <v>0</v>
      </c>
      <c r="I55" s="56">
        <v>0</v>
      </c>
    </row>
    <row r="56" spans="1:9" x14ac:dyDescent="0.2">
      <c r="A56" s="287" t="s">
        <v>210</v>
      </c>
      <c r="B56" s="287"/>
      <c r="C56" s="287"/>
      <c r="D56" s="287"/>
      <c r="E56" s="287"/>
      <c r="F56" s="287"/>
      <c r="G56" s="16">
        <v>50</v>
      </c>
      <c r="H56" s="56">
        <v>0</v>
      </c>
      <c r="I56" s="56">
        <v>0</v>
      </c>
    </row>
    <row r="57" spans="1:9" ht="28.9" customHeight="1" x14ac:dyDescent="0.2">
      <c r="A57" s="287" t="s">
        <v>211</v>
      </c>
      <c r="B57" s="287"/>
      <c r="C57" s="287"/>
      <c r="D57" s="287"/>
      <c r="E57" s="287"/>
      <c r="F57" s="287"/>
      <c r="G57" s="16">
        <v>51</v>
      </c>
      <c r="H57" s="56">
        <v>0</v>
      </c>
      <c r="I57" s="56">
        <v>0</v>
      </c>
    </row>
    <row r="58" spans="1:9" x14ac:dyDescent="0.2">
      <c r="A58" s="287" t="s">
        <v>212</v>
      </c>
      <c r="B58" s="287"/>
      <c r="C58" s="287"/>
      <c r="D58" s="287"/>
      <c r="E58" s="287"/>
      <c r="F58" s="287"/>
      <c r="G58" s="16">
        <v>52</v>
      </c>
      <c r="H58" s="56">
        <v>0</v>
      </c>
      <c r="I58" s="56">
        <v>0</v>
      </c>
    </row>
    <row r="59" spans="1:9" x14ac:dyDescent="0.2">
      <c r="A59" s="288" t="s">
        <v>473</v>
      </c>
      <c r="B59" s="289"/>
      <c r="C59" s="289"/>
      <c r="D59" s="289"/>
      <c r="E59" s="289"/>
      <c r="F59" s="289"/>
      <c r="G59" s="17">
        <v>53</v>
      </c>
      <c r="H59" s="57">
        <f>H7+H36+H55+H56</f>
        <v>1691433855</v>
      </c>
      <c r="I59" s="57">
        <f>I7+I36+I55+I56</f>
        <v>2495355543</v>
      </c>
    </row>
    <row r="60" spans="1:9" x14ac:dyDescent="0.2">
      <c r="A60" s="288" t="s">
        <v>474</v>
      </c>
      <c r="B60" s="289"/>
      <c r="C60" s="289"/>
      <c r="D60" s="289"/>
      <c r="E60" s="289"/>
      <c r="F60" s="289"/>
      <c r="G60" s="17">
        <v>54</v>
      </c>
      <c r="H60" s="57">
        <f>H13+H47+H57+H58</f>
        <v>1320309704</v>
      </c>
      <c r="I60" s="57">
        <f>I13+I47+I57+I58</f>
        <v>1823076161</v>
      </c>
    </row>
    <row r="61" spans="1:9" x14ac:dyDescent="0.2">
      <c r="A61" s="288" t="s">
        <v>475</v>
      </c>
      <c r="B61" s="289"/>
      <c r="C61" s="289"/>
      <c r="D61" s="289"/>
      <c r="E61" s="289"/>
      <c r="F61" s="289"/>
      <c r="G61" s="17">
        <v>55</v>
      </c>
      <c r="H61" s="57">
        <f>H59-H60</f>
        <v>371124151</v>
      </c>
      <c r="I61" s="57">
        <f>I59-I60</f>
        <v>672279382</v>
      </c>
    </row>
    <row r="62" spans="1:9" x14ac:dyDescent="0.2">
      <c r="A62" s="352" t="s">
        <v>476</v>
      </c>
      <c r="B62" s="352"/>
      <c r="C62" s="352"/>
      <c r="D62" s="352"/>
      <c r="E62" s="352"/>
      <c r="F62" s="352"/>
      <c r="G62" s="17">
        <v>56</v>
      </c>
      <c r="H62" s="57">
        <f>+IF((H59-H60)&gt;0,(H59-H60),0)</f>
        <v>371124151</v>
      </c>
      <c r="I62" s="57">
        <f>+IF((I59-I60)&gt;0,(I59-I60),0)</f>
        <v>672279382</v>
      </c>
    </row>
    <row r="63" spans="1:9" x14ac:dyDescent="0.2">
      <c r="A63" s="352" t="s">
        <v>477</v>
      </c>
      <c r="B63" s="352"/>
      <c r="C63" s="352"/>
      <c r="D63" s="352"/>
      <c r="E63" s="352"/>
      <c r="F63" s="352"/>
      <c r="G63" s="17">
        <v>57</v>
      </c>
      <c r="H63" s="57">
        <f>+IF((H59-H60)&lt;0,(H59-H60),0)</f>
        <v>0</v>
      </c>
      <c r="I63" s="57">
        <f>+IF((I59-I60)&lt;0,(I59-I60),0)</f>
        <v>0</v>
      </c>
    </row>
    <row r="64" spans="1:9" x14ac:dyDescent="0.2">
      <c r="A64" s="287" t="s">
        <v>213</v>
      </c>
      <c r="B64" s="287"/>
      <c r="C64" s="287"/>
      <c r="D64" s="287"/>
      <c r="E64" s="287"/>
      <c r="F64" s="287"/>
      <c r="G64" s="16">
        <v>58</v>
      </c>
      <c r="H64" s="56">
        <v>66518345</v>
      </c>
      <c r="I64" s="56">
        <v>111595041</v>
      </c>
    </row>
    <row r="65" spans="1:9" x14ac:dyDescent="0.2">
      <c r="A65" s="288" t="s">
        <v>478</v>
      </c>
      <c r="B65" s="289"/>
      <c r="C65" s="289"/>
      <c r="D65" s="289"/>
      <c r="E65" s="289"/>
      <c r="F65" s="289"/>
      <c r="G65" s="17">
        <v>59</v>
      </c>
      <c r="H65" s="57">
        <f>H61-H64</f>
        <v>304605806</v>
      </c>
      <c r="I65" s="57">
        <f>I61-I64</f>
        <v>560684341</v>
      </c>
    </row>
    <row r="66" spans="1:9" x14ac:dyDescent="0.2">
      <c r="A66" s="352" t="s">
        <v>479</v>
      </c>
      <c r="B66" s="352"/>
      <c r="C66" s="352"/>
      <c r="D66" s="352"/>
      <c r="E66" s="352"/>
      <c r="F66" s="352"/>
      <c r="G66" s="17">
        <v>60</v>
      </c>
      <c r="H66" s="57">
        <f>+IF((H61-H64)&gt;0,(H61-H64),0)</f>
        <v>304605806</v>
      </c>
      <c r="I66" s="57">
        <f>+IF((I61-I64)&gt;0,(I61-I64),0)</f>
        <v>560684341</v>
      </c>
    </row>
    <row r="67" spans="1:9" x14ac:dyDescent="0.2">
      <c r="A67" s="353" t="s">
        <v>480</v>
      </c>
      <c r="B67" s="353"/>
      <c r="C67" s="353"/>
      <c r="D67" s="353"/>
      <c r="E67" s="353"/>
      <c r="F67" s="353"/>
      <c r="G67" s="18">
        <v>61</v>
      </c>
      <c r="H67" s="62">
        <f>+IF((H61-H64)&lt;0,(H61-H64),0)</f>
        <v>0</v>
      </c>
      <c r="I67" s="62">
        <f>+IF((I61-I64)&lt;0,(I61-I64),0)</f>
        <v>0</v>
      </c>
    </row>
    <row r="68" spans="1:9" x14ac:dyDescent="0.2">
      <c r="A68" s="306" t="s">
        <v>214</v>
      </c>
      <c r="B68" s="306"/>
      <c r="C68" s="306"/>
      <c r="D68" s="306"/>
      <c r="E68" s="306"/>
      <c r="F68" s="306"/>
      <c r="G68" s="350"/>
      <c r="H68" s="350"/>
      <c r="I68" s="350"/>
    </row>
    <row r="69" spans="1:9" ht="25.9" customHeight="1" x14ac:dyDescent="0.2">
      <c r="A69" s="288" t="s">
        <v>481</v>
      </c>
      <c r="B69" s="289"/>
      <c r="C69" s="289"/>
      <c r="D69" s="289"/>
      <c r="E69" s="289"/>
      <c r="F69" s="289"/>
      <c r="G69" s="17">
        <v>62</v>
      </c>
      <c r="H69" s="57">
        <f>H70-H71</f>
        <v>0</v>
      </c>
      <c r="I69" s="57">
        <f>I70-I71</f>
        <v>0</v>
      </c>
    </row>
    <row r="70" spans="1:9" x14ac:dyDescent="0.2">
      <c r="A70" s="344" t="s">
        <v>215</v>
      </c>
      <c r="B70" s="344"/>
      <c r="C70" s="344"/>
      <c r="D70" s="344"/>
      <c r="E70" s="344"/>
      <c r="F70" s="344"/>
      <c r="G70" s="16">
        <v>63</v>
      </c>
      <c r="H70" s="56">
        <v>0</v>
      </c>
      <c r="I70" s="56">
        <v>0</v>
      </c>
    </row>
    <row r="71" spans="1:9" x14ac:dyDescent="0.2">
      <c r="A71" s="344" t="s">
        <v>216</v>
      </c>
      <c r="B71" s="344"/>
      <c r="C71" s="344"/>
      <c r="D71" s="344"/>
      <c r="E71" s="344"/>
      <c r="F71" s="344"/>
      <c r="G71" s="16">
        <v>64</v>
      </c>
      <c r="H71" s="56">
        <v>0</v>
      </c>
      <c r="I71" s="56">
        <v>0</v>
      </c>
    </row>
    <row r="72" spans="1:9" x14ac:dyDescent="0.2">
      <c r="A72" s="287" t="s">
        <v>217</v>
      </c>
      <c r="B72" s="287"/>
      <c r="C72" s="287"/>
      <c r="D72" s="287"/>
      <c r="E72" s="287"/>
      <c r="F72" s="287"/>
      <c r="G72" s="16">
        <v>65</v>
      </c>
      <c r="H72" s="56">
        <v>0</v>
      </c>
      <c r="I72" s="56">
        <v>0</v>
      </c>
    </row>
    <row r="73" spans="1:9" x14ac:dyDescent="0.2">
      <c r="A73" s="352" t="s">
        <v>482</v>
      </c>
      <c r="B73" s="352"/>
      <c r="C73" s="352"/>
      <c r="D73" s="352"/>
      <c r="E73" s="352"/>
      <c r="F73" s="352"/>
      <c r="G73" s="17">
        <v>66</v>
      </c>
      <c r="H73" s="111">
        <v>0</v>
      </c>
      <c r="I73" s="111">
        <v>0</v>
      </c>
    </row>
    <row r="74" spans="1:9" x14ac:dyDescent="0.2">
      <c r="A74" s="353" t="s">
        <v>483</v>
      </c>
      <c r="B74" s="353"/>
      <c r="C74" s="353"/>
      <c r="D74" s="353"/>
      <c r="E74" s="353"/>
      <c r="F74" s="353"/>
      <c r="G74" s="18">
        <v>67</v>
      </c>
      <c r="H74" s="112">
        <v>0</v>
      </c>
      <c r="I74" s="112">
        <v>0</v>
      </c>
    </row>
    <row r="75" spans="1:9" x14ac:dyDescent="0.2">
      <c r="A75" s="306" t="s">
        <v>218</v>
      </c>
      <c r="B75" s="306"/>
      <c r="C75" s="306"/>
      <c r="D75" s="306"/>
      <c r="E75" s="306"/>
      <c r="F75" s="306"/>
      <c r="G75" s="350"/>
      <c r="H75" s="350"/>
      <c r="I75" s="350"/>
    </row>
    <row r="76" spans="1:9" x14ac:dyDescent="0.2">
      <c r="A76" s="288" t="s">
        <v>484</v>
      </c>
      <c r="B76" s="289"/>
      <c r="C76" s="289"/>
      <c r="D76" s="289"/>
      <c r="E76" s="289"/>
      <c r="F76" s="289"/>
      <c r="G76" s="17">
        <v>68</v>
      </c>
      <c r="H76" s="111">
        <v>0</v>
      </c>
      <c r="I76" s="111">
        <v>0</v>
      </c>
    </row>
    <row r="77" spans="1:9" x14ac:dyDescent="0.2">
      <c r="A77" s="351" t="s">
        <v>485</v>
      </c>
      <c r="B77" s="351"/>
      <c r="C77" s="351"/>
      <c r="D77" s="351"/>
      <c r="E77" s="351"/>
      <c r="F77" s="351"/>
      <c r="G77" s="22">
        <v>69</v>
      </c>
      <c r="H77" s="63">
        <v>0</v>
      </c>
      <c r="I77" s="63">
        <v>0</v>
      </c>
    </row>
    <row r="78" spans="1:9" x14ac:dyDescent="0.2">
      <c r="A78" s="351" t="s">
        <v>486</v>
      </c>
      <c r="B78" s="351"/>
      <c r="C78" s="351"/>
      <c r="D78" s="351"/>
      <c r="E78" s="351"/>
      <c r="F78" s="351"/>
      <c r="G78" s="22">
        <v>70</v>
      </c>
      <c r="H78" s="63">
        <v>0</v>
      </c>
      <c r="I78" s="63">
        <v>0</v>
      </c>
    </row>
    <row r="79" spans="1:9" x14ac:dyDescent="0.2">
      <c r="A79" s="288" t="s">
        <v>487</v>
      </c>
      <c r="B79" s="289"/>
      <c r="C79" s="289"/>
      <c r="D79" s="289"/>
      <c r="E79" s="289"/>
      <c r="F79" s="289"/>
      <c r="G79" s="17">
        <v>71</v>
      </c>
      <c r="H79" s="111">
        <v>0</v>
      </c>
      <c r="I79" s="111">
        <v>0</v>
      </c>
    </row>
    <row r="80" spans="1:9" x14ac:dyDescent="0.2">
      <c r="A80" s="288" t="s">
        <v>488</v>
      </c>
      <c r="B80" s="289"/>
      <c r="C80" s="289"/>
      <c r="D80" s="289"/>
      <c r="E80" s="289"/>
      <c r="F80" s="289"/>
      <c r="G80" s="17">
        <v>72</v>
      </c>
      <c r="H80" s="111">
        <v>0</v>
      </c>
      <c r="I80" s="111">
        <v>0</v>
      </c>
    </row>
    <row r="81" spans="1:9" x14ac:dyDescent="0.2">
      <c r="A81" s="352" t="s">
        <v>489</v>
      </c>
      <c r="B81" s="352"/>
      <c r="C81" s="352"/>
      <c r="D81" s="352"/>
      <c r="E81" s="352"/>
      <c r="F81" s="352"/>
      <c r="G81" s="17">
        <v>73</v>
      </c>
      <c r="H81" s="111">
        <v>0</v>
      </c>
      <c r="I81" s="111">
        <v>0</v>
      </c>
    </row>
    <row r="82" spans="1:9" x14ac:dyDescent="0.2">
      <c r="A82" s="353" t="s">
        <v>490</v>
      </c>
      <c r="B82" s="353"/>
      <c r="C82" s="353"/>
      <c r="D82" s="353"/>
      <c r="E82" s="353"/>
      <c r="F82" s="353"/>
      <c r="G82" s="17">
        <v>74</v>
      </c>
      <c r="H82" s="112">
        <v>0</v>
      </c>
      <c r="I82" s="112">
        <v>0</v>
      </c>
    </row>
    <row r="83" spans="1:9" x14ac:dyDescent="0.2">
      <c r="A83" s="306" t="s">
        <v>219</v>
      </c>
      <c r="B83" s="306"/>
      <c r="C83" s="306"/>
      <c r="D83" s="306"/>
      <c r="E83" s="306"/>
      <c r="F83" s="306"/>
      <c r="G83" s="350"/>
      <c r="H83" s="350"/>
      <c r="I83" s="350"/>
    </row>
    <row r="84" spans="1:9" x14ac:dyDescent="0.2">
      <c r="A84" s="334" t="s">
        <v>491</v>
      </c>
      <c r="B84" s="335"/>
      <c r="C84" s="335"/>
      <c r="D84" s="335"/>
      <c r="E84" s="335"/>
      <c r="F84" s="335"/>
      <c r="G84" s="17">
        <v>75</v>
      </c>
      <c r="H84" s="51">
        <f>H85+H86</f>
        <v>0</v>
      </c>
      <c r="I84" s="51">
        <f>I85+I86</f>
        <v>0</v>
      </c>
    </row>
    <row r="85" spans="1:9" x14ac:dyDescent="0.2">
      <c r="A85" s="337" t="s">
        <v>220</v>
      </c>
      <c r="B85" s="337"/>
      <c r="C85" s="337"/>
      <c r="D85" s="337"/>
      <c r="E85" s="337"/>
      <c r="F85" s="337"/>
      <c r="G85" s="16">
        <v>76</v>
      </c>
      <c r="H85" s="50">
        <v>0</v>
      </c>
      <c r="I85" s="50">
        <v>0</v>
      </c>
    </row>
    <row r="86" spans="1:9" x14ac:dyDescent="0.2">
      <c r="A86" s="339" t="s">
        <v>221</v>
      </c>
      <c r="B86" s="339"/>
      <c r="C86" s="339"/>
      <c r="D86" s="339"/>
      <c r="E86" s="339"/>
      <c r="F86" s="339"/>
      <c r="G86" s="19">
        <v>77</v>
      </c>
      <c r="H86" s="64">
        <v>0</v>
      </c>
      <c r="I86" s="64">
        <v>0</v>
      </c>
    </row>
    <row r="87" spans="1:9" x14ac:dyDescent="0.2">
      <c r="A87" s="340" t="s">
        <v>222</v>
      </c>
      <c r="B87" s="340"/>
      <c r="C87" s="340"/>
      <c r="D87" s="340"/>
      <c r="E87" s="340"/>
      <c r="F87" s="340"/>
      <c r="G87" s="341"/>
      <c r="H87" s="341"/>
      <c r="I87" s="341"/>
    </row>
    <row r="88" spans="1:9" x14ac:dyDescent="0.2">
      <c r="A88" s="342" t="s">
        <v>223</v>
      </c>
      <c r="B88" s="342"/>
      <c r="C88" s="342"/>
      <c r="D88" s="342"/>
      <c r="E88" s="342"/>
      <c r="F88" s="342"/>
      <c r="G88" s="16">
        <v>78</v>
      </c>
      <c r="H88" s="50">
        <f>+H65</f>
        <v>304605806</v>
      </c>
      <c r="I88" s="50">
        <f>+I65</f>
        <v>560684341</v>
      </c>
    </row>
    <row r="89" spans="1:9" ht="24.6" customHeight="1" x14ac:dyDescent="0.2">
      <c r="A89" s="343" t="s">
        <v>492</v>
      </c>
      <c r="B89" s="343"/>
      <c r="C89" s="343"/>
      <c r="D89" s="343"/>
      <c r="E89" s="343"/>
      <c r="F89" s="343"/>
      <c r="G89" s="17">
        <v>79</v>
      </c>
      <c r="H89" s="51">
        <f>H90+H97</f>
        <v>97850</v>
      </c>
      <c r="I89" s="51">
        <f>I90+I97</f>
        <v>-26827</v>
      </c>
    </row>
    <row r="90" spans="1:9" ht="27" customHeight="1" x14ac:dyDescent="0.2">
      <c r="A90" s="343" t="s">
        <v>493</v>
      </c>
      <c r="B90" s="343"/>
      <c r="C90" s="343"/>
      <c r="D90" s="343"/>
      <c r="E90" s="343"/>
      <c r="F90" s="343"/>
      <c r="G90" s="17">
        <v>80</v>
      </c>
      <c r="H90" s="51">
        <f>H91+H92+H93+H94+H95</f>
        <v>97850</v>
      </c>
      <c r="I90" s="51">
        <f>I91+I92+I93+I94+I95</f>
        <v>-26827</v>
      </c>
    </row>
    <row r="91" spans="1:9" ht="21.6" customHeight="1" x14ac:dyDescent="0.2">
      <c r="A91" s="344" t="s">
        <v>398</v>
      </c>
      <c r="B91" s="344"/>
      <c r="C91" s="344"/>
      <c r="D91" s="344"/>
      <c r="E91" s="344"/>
      <c r="F91" s="344"/>
      <c r="G91" s="16">
        <v>81</v>
      </c>
      <c r="H91" s="50">
        <v>0</v>
      </c>
      <c r="I91" s="50">
        <v>0</v>
      </c>
    </row>
    <row r="92" spans="1:9" ht="21.6" customHeight="1" x14ac:dyDescent="0.2">
      <c r="A92" s="344" t="s">
        <v>399</v>
      </c>
      <c r="B92" s="344"/>
      <c r="C92" s="344"/>
      <c r="D92" s="344"/>
      <c r="E92" s="344"/>
      <c r="F92" s="344"/>
      <c r="G92" s="16">
        <v>82</v>
      </c>
      <c r="H92" s="50">
        <v>97850</v>
      </c>
      <c r="I92" s="50">
        <v>-26827</v>
      </c>
    </row>
    <row r="93" spans="1:9" ht="26.25" customHeight="1" x14ac:dyDescent="0.2">
      <c r="A93" s="344" t="s">
        <v>400</v>
      </c>
      <c r="B93" s="344"/>
      <c r="C93" s="344"/>
      <c r="D93" s="344"/>
      <c r="E93" s="344"/>
      <c r="F93" s="344"/>
      <c r="G93" s="16">
        <v>83</v>
      </c>
      <c r="H93" s="50">
        <v>0</v>
      </c>
      <c r="I93" s="50">
        <v>0</v>
      </c>
    </row>
    <row r="94" spans="1:9" ht="24.6" customHeight="1" x14ac:dyDescent="0.2">
      <c r="A94" s="344" t="s">
        <v>401</v>
      </c>
      <c r="B94" s="344"/>
      <c r="C94" s="344"/>
      <c r="D94" s="344"/>
      <c r="E94" s="344"/>
      <c r="F94" s="344"/>
      <c r="G94" s="16">
        <v>84</v>
      </c>
      <c r="H94" s="50">
        <v>0</v>
      </c>
      <c r="I94" s="50">
        <v>0</v>
      </c>
    </row>
    <row r="95" spans="1:9" ht="14.25" customHeight="1" x14ac:dyDescent="0.2">
      <c r="A95" s="344" t="s">
        <v>402</v>
      </c>
      <c r="B95" s="344"/>
      <c r="C95" s="344"/>
      <c r="D95" s="344"/>
      <c r="E95" s="344"/>
      <c r="F95" s="344"/>
      <c r="G95" s="16">
        <v>85</v>
      </c>
      <c r="H95" s="50">
        <v>0</v>
      </c>
      <c r="I95" s="50">
        <v>0</v>
      </c>
    </row>
    <row r="96" spans="1:9" x14ac:dyDescent="0.2">
      <c r="A96" s="344" t="s">
        <v>403</v>
      </c>
      <c r="B96" s="344"/>
      <c r="C96" s="344"/>
      <c r="D96" s="344"/>
      <c r="E96" s="344"/>
      <c r="F96" s="344"/>
      <c r="G96" s="16">
        <v>86</v>
      </c>
      <c r="H96" s="50">
        <v>17613</v>
      </c>
      <c r="I96" s="50">
        <v>-4829</v>
      </c>
    </row>
    <row r="97" spans="1:9" ht="27.6" customHeight="1" x14ac:dyDescent="0.2">
      <c r="A97" s="343" t="s">
        <v>494</v>
      </c>
      <c r="B97" s="343"/>
      <c r="C97" s="343"/>
      <c r="D97" s="343"/>
      <c r="E97" s="343"/>
      <c r="F97" s="343"/>
      <c r="G97" s="17">
        <v>87</v>
      </c>
      <c r="H97" s="51">
        <f>H98+H99+H100+H101+H102+H103+H104+H105</f>
        <v>0</v>
      </c>
      <c r="I97" s="51">
        <f>I98+I99+I100+I101+I102+I103+I104+I105</f>
        <v>0</v>
      </c>
    </row>
    <row r="98" spans="1:9" ht="17.25" customHeight="1" x14ac:dyDescent="0.2">
      <c r="A98" s="344" t="s">
        <v>397</v>
      </c>
      <c r="B98" s="344"/>
      <c r="C98" s="344"/>
      <c r="D98" s="344"/>
      <c r="E98" s="344"/>
      <c r="F98" s="344"/>
      <c r="G98" s="16">
        <v>88</v>
      </c>
      <c r="H98" s="50">
        <v>0</v>
      </c>
      <c r="I98" s="50">
        <v>0</v>
      </c>
    </row>
    <row r="99" spans="1:9" ht="27.6" customHeight="1" x14ac:dyDescent="0.2">
      <c r="A99" s="344" t="s">
        <v>404</v>
      </c>
      <c r="B99" s="344"/>
      <c r="C99" s="344"/>
      <c r="D99" s="344"/>
      <c r="E99" s="344"/>
      <c r="F99" s="344"/>
      <c r="G99" s="16">
        <v>89</v>
      </c>
      <c r="H99" s="50">
        <v>0</v>
      </c>
      <c r="I99" s="50">
        <v>0</v>
      </c>
    </row>
    <row r="100" spans="1:9" ht="14.25" customHeight="1" x14ac:dyDescent="0.2">
      <c r="A100" s="344" t="s">
        <v>405</v>
      </c>
      <c r="B100" s="344"/>
      <c r="C100" s="344"/>
      <c r="D100" s="344"/>
      <c r="E100" s="344"/>
      <c r="F100" s="344"/>
      <c r="G100" s="16">
        <v>90</v>
      </c>
      <c r="H100" s="50">
        <v>0</v>
      </c>
      <c r="I100" s="50">
        <v>0</v>
      </c>
    </row>
    <row r="101" spans="1:9" ht="27.6" customHeight="1" x14ac:dyDescent="0.2">
      <c r="A101" s="344" t="s">
        <v>406</v>
      </c>
      <c r="B101" s="344"/>
      <c r="C101" s="344"/>
      <c r="D101" s="344"/>
      <c r="E101" s="344"/>
      <c r="F101" s="344"/>
      <c r="G101" s="16">
        <v>91</v>
      </c>
      <c r="H101" s="50">
        <v>0</v>
      </c>
      <c r="I101" s="50">
        <v>0</v>
      </c>
    </row>
    <row r="102" spans="1:9" ht="27.6" customHeight="1" x14ac:dyDescent="0.2">
      <c r="A102" s="344" t="s">
        <v>407</v>
      </c>
      <c r="B102" s="344"/>
      <c r="C102" s="344"/>
      <c r="D102" s="344"/>
      <c r="E102" s="344"/>
      <c r="F102" s="344"/>
      <c r="G102" s="16">
        <v>92</v>
      </c>
      <c r="H102" s="50">
        <v>0</v>
      </c>
      <c r="I102" s="50">
        <v>0</v>
      </c>
    </row>
    <row r="103" spans="1:9" ht="18" customHeight="1" x14ac:dyDescent="0.2">
      <c r="A103" s="344" t="s">
        <v>408</v>
      </c>
      <c r="B103" s="344"/>
      <c r="C103" s="344"/>
      <c r="D103" s="344"/>
      <c r="E103" s="344"/>
      <c r="F103" s="344"/>
      <c r="G103" s="16">
        <v>93</v>
      </c>
      <c r="H103" s="50">
        <v>0</v>
      </c>
      <c r="I103" s="50">
        <v>0</v>
      </c>
    </row>
    <row r="104" spans="1:9" ht="16.5" customHeight="1" x14ac:dyDescent="0.2">
      <c r="A104" s="344" t="s">
        <v>409</v>
      </c>
      <c r="B104" s="344"/>
      <c r="C104" s="344"/>
      <c r="D104" s="344"/>
      <c r="E104" s="344"/>
      <c r="F104" s="344"/>
      <c r="G104" s="16">
        <v>94</v>
      </c>
      <c r="H104" s="50">
        <v>0</v>
      </c>
      <c r="I104" s="50">
        <v>0</v>
      </c>
    </row>
    <row r="105" spans="1:9" ht="16.5" customHeight="1" x14ac:dyDescent="0.2">
      <c r="A105" s="344" t="s">
        <v>410</v>
      </c>
      <c r="B105" s="344"/>
      <c r="C105" s="344"/>
      <c r="D105" s="344"/>
      <c r="E105" s="344"/>
      <c r="F105" s="344"/>
      <c r="G105" s="16">
        <v>95</v>
      </c>
      <c r="H105" s="50">
        <v>0</v>
      </c>
      <c r="I105" s="50">
        <v>0</v>
      </c>
    </row>
    <row r="106" spans="1:9" ht="31.5" customHeight="1" x14ac:dyDescent="0.2">
      <c r="A106" s="344" t="s">
        <v>411</v>
      </c>
      <c r="B106" s="344"/>
      <c r="C106" s="344"/>
      <c r="D106" s="344"/>
      <c r="E106" s="344"/>
      <c r="F106" s="344"/>
      <c r="G106" s="16">
        <v>96</v>
      </c>
      <c r="H106" s="50">
        <v>0</v>
      </c>
      <c r="I106" s="50">
        <v>0</v>
      </c>
    </row>
    <row r="107" spans="1:9" ht="31.15" customHeight="1" x14ac:dyDescent="0.2">
      <c r="A107" s="345" t="s">
        <v>495</v>
      </c>
      <c r="B107" s="345"/>
      <c r="C107" s="345"/>
      <c r="D107" s="345"/>
      <c r="E107" s="345"/>
      <c r="F107" s="345"/>
      <c r="G107" s="18">
        <v>97</v>
      </c>
      <c r="H107" s="52">
        <f>H90+H97-H96-H106</f>
        <v>80237</v>
      </c>
      <c r="I107" s="52">
        <f>I90+I97-I96-I106</f>
        <v>-21998</v>
      </c>
    </row>
    <row r="108" spans="1:9" ht="31.15" customHeight="1" x14ac:dyDescent="0.2">
      <c r="A108" s="345" t="s">
        <v>496</v>
      </c>
      <c r="B108" s="345"/>
      <c r="C108" s="345"/>
      <c r="D108" s="345"/>
      <c r="E108" s="345"/>
      <c r="F108" s="345"/>
      <c r="G108" s="18">
        <v>98</v>
      </c>
      <c r="H108" s="52">
        <f>H88+H107</f>
        <v>304686043</v>
      </c>
      <c r="I108" s="52">
        <f>I88+I107</f>
        <v>560662343</v>
      </c>
    </row>
    <row r="109" spans="1:9" ht="28.9" customHeight="1" x14ac:dyDescent="0.2">
      <c r="A109" s="306" t="s">
        <v>224</v>
      </c>
      <c r="B109" s="306"/>
      <c r="C109" s="306"/>
      <c r="D109" s="306"/>
      <c r="E109" s="306"/>
      <c r="F109" s="306"/>
      <c r="G109" s="350"/>
      <c r="H109" s="350"/>
      <c r="I109" s="350"/>
    </row>
    <row r="110" spans="1:9" ht="23.45" customHeight="1" x14ac:dyDescent="0.2">
      <c r="A110" s="334" t="s">
        <v>497</v>
      </c>
      <c r="B110" s="335"/>
      <c r="C110" s="335"/>
      <c r="D110" s="335"/>
      <c r="E110" s="335"/>
      <c r="F110" s="335"/>
      <c r="G110" s="17">
        <v>99</v>
      </c>
      <c r="H110" s="51">
        <f>H111+H112</f>
        <v>0</v>
      </c>
      <c r="I110" s="51">
        <f>I111+I112</f>
        <v>0</v>
      </c>
    </row>
    <row r="111" spans="1:9" x14ac:dyDescent="0.2">
      <c r="A111" s="336" t="s">
        <v>412</v>
      </c>
      <c r="B111" s="337"/>
      <c r="C111" s="337"/>
      <c r="D111" s="337"/>
      <c r="E111" s="337"/>
      <c r="F111" s="337"/>
      <c r="G111" s="16">
        <v>100</v>
      </c>
      <c r="H111" s="50">
        <v>0</v>
      </c>
      <c r="I111" s="50">
        <v>0</v>
      </c>
    </row>
    <row r="112" spans="1:9" x14ac:dyDescent="0.2">
      <c r="A112" s="338" t="s">
        <v>413</v>
      </c>
      <c r="B112" s="339"/>
      <c r="C112" s="339"/>
      <c r="D112" s="339"/>
      <c r="E112" s="339"/>
      <c r="F112" s="339"/>
      <c r="G112" s="19">
        <v>101</v>
      </c>
      <c r="H112" s="64">
        <v>0</v>
      </c>
      <c r="I112" s="64">
        <v>0</v>
      </c>
    </row>
  </sheetData>
  <sheetProtection algorithmName="SHA-512" hashValue="yynxbidnLuIdb/BaCWIjkqCulMMbKDYZ71Bm/f06LXoCWprTbmDKq9Os7Vb7kUqQ7IBCb49nsehKyj/F5dAsEA==" saltValue="2GEVQ125iM3Y2IKJrWgT2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7" zoomScaleNormal="100" zoomScaleSheetLayoutView="100" workbookViewId="0">
      <selection activeCell="I21" sqref="I21"/>
    </sheetView>
  </sheetViews>
  <sheetFormatPr defaultColWidth="9.140625" defaultRowHeight="12.75" x14ac:dyDescent="0.2"/>
  <cols>
    <col min="1" max="6" width="9.140625" style="11"/>
    <col min="7" max="7" width="9.140625" style="23"/>
    <col min="8" max="9" width="18.140625" style="53" customWidth="1"/>
    <col min="10" max="16384" width="9.140625" style="11"/>
  </cols>
  <sheetData>
    <row r="1" spans="1:9" x14ac:dyDescent="0.2">
      <c r="A1" s="360" t="s">
        <v>225</v>
      </c>
      <c r="B1" s="388"/>
      <c r="C1" s="388"/>
      <c r="D1" s="388"/>
      <c r="E1" s="388"/>
      <c r="F1" s="388"/>
      <c r="G1" s="388"/>
      <c r="H1" s="388"/>
      <c r="I1" s="388"/>
    </row>
    <row r="2" spans="1:9" x14ac:dyDescent="0.2">
      <c r="A2" s="359" t="s">
        <v>518</v>
      </c>
      <c r="B2" s="314"/>
      <c r="C2" s="314"/>
      <c r="D2" s="314"/>
      <c r="E2" s="314"/>
      <c r="F2" s="314"/>
      <c r="G2" s="314"/>
      <c r="H2" s="314"/>
      <c r="I2" s="314"/>
    </row>
    <row r="3" spans="1:9" x14ac:dyDescent="0.2">
      <c r="A3" s="390" t="s">
        <v>226</v>
      </c>
      <c r="B3" s="391"/>
      <c r="C3" s="391"/>
      <c r="D3" s="391"/>
      <c r="E3" s="391"/>
      <c r="F3" s="391"/>
      <c r="G3" s="391"/>
      <c r="H3" s="391"/>
      <c r="I3" s="391"/>
    </row>
    <row r="4" spans="1:9" x14ac:dyDescent="0.2">
      <c r="A4" s="389" t="s">
        <v>519</v>
      </c>
      <c r="B4" s="321"/>
      <c r="C4" s="321"/>
      <c r="D4" s="321"/>
      <c r="E4" s="321"/>
      <c r="F4" s="321"/>
      <c r="G4" s="321"/>
      <c r="H4" s="321"/>
      <c r="I4" s="322"/>
    </row>
    <row r="5" spans="1:9" ht="23.25" thickBot="1" x14ac:dyDescent="0.25">
      <c r="A5" s="392" t="s">
        <v>227</v>
      </c>
      <c r="B5" s="393"/>
      <c r="C5" s="393"/>
      <c r="D5" s="393"/>
      <c r="E5" s="393"/>
      <c r="F5" s="394"/>
      <c r="G5" s="13" t="s">
        <v>228</v>
      </c>
      <c r="H5" s="44" t="s">
        <v>229</v>
      </c>
      <c r="I5" s="44" t="s">
        <v>230</v>
      </c>
    </row>
    <row r="6" spans="1:9" x14ac:dyDescent="0.2">
      <c r="A6" s="395">
        <v>1</v>
      </c>
      <c r="B6" s="396"/>
      <c r="C6" s="396"/>
      <c r="D6" s="396"/>
      <c r="E6" s="396"/>
      <c r="F6" s="397"/>
      <c r="G6" s="20">
        <v>2</v>
      </c>
      <c r="H6" s="20" t="s">
        <v>231</v>
      </c>
      <c r="I6" s="20" t="s">
        <v>232</v>
      </c>
    </row>
    <row r="7" spans="1:9" x14ac:dyDescent="0.2">
      <c r="A7" s="367" t="s">
        <v>233</v>
      </c>
      <c r="B7" s="368"/>
      <c r="C7" s="368"/>
      <c r="D7" s="368"/>
      <c r="E7" s="368"/>
      <c r="F7" s="368"/>
      <c r="G7" s="368"/>
      <c r="H7" s="368"/>
      <c r="I7" s="369"/>
    </row>
    <row r="8" spans="1:9" ht="12.75" customHeight="1" x14ac:dyDescent="0.2">
      <c r="A8" s="370" t="s">
        <v>234</v>
      </c>
      <c r="B8" s="371"/>
      <c r="C8" s="371"/>
      <c r="D8" s="371"/>
      <c r="E8" s="371"/>
      <c r="F8" s="372"/>
      <c r="G8" s="21">
        <v>1</v>
      </c>
      <c r="H8" s="45">
        <v>371124151</v>
      </c>
      <c r="I8" s="45">
        <v>672279382</v>
      </c>
    </row>
    <row r="9" spans="1:9" ht="12.75" customHeight="1" x14ac:dyDescent="0.2">
      <c r="A9" s="385" t="s">
        <v>235</v>
      </c>
      <c r="B9" s="386"/>
      <c r="C9" s="386"/>
      <c r="D9" s="386"/>
      <c r="E9" s="386"/>
      <c r="F9" s="387"/>
      <c r="G9" s="17">
        <v>2</v>
      </c>
      <c r="H9" s="46">
        <f>H10+H11+H12+H13+H14+H15+H16+H17</f>
        <v>190749080</v>
      </c>
      <c r="I9" s="46">
        <f>I10+I11+I12+I13+I14+I15+I16+I17</f>
        <v>-67502629</v>
      </c>
    </row>
    <row r="10" spans="1:9" ht="12.75" customHeight="1" x14ac:dyDescent="0.2">
      <c r="A10" s="382" t="s">
        <v>236</v>
      </c>
      <c r="B10" s="383"/>
      <c r="C10" s="383"/>
      <c r="D10" s="383"/>
      <c r="E10" s="383"/>
      <c r="F10" s="384"/>
      <c r="G10" s="22">
        <v>3</v>
      </c>
      <c r="H10" s="47">
        <v>397597196</v>
      </c>
      <c r="I10" s="47">
        <v>369413354</v>
      </c>
    </row>
    <row r="11" spans="1:9" ht="31.15" customHeight="1" x14ac:dyDescent="0.2">
      <c r="A11" s="382" t="s">
        <v>237</v>
      </c>
      <c r="B11" s="383"/>
      <c r="C11" s="383"/>
      <c r="D11" s="383"/>
      <c r="E11" s="383"/>
      <c r="F11" s="384"/>
      <c r="G11" s="22">
        <v>4</v>
      </c>
      <c r="H11" s="47">
        <v>-279190767</v>
      </c>
      <c r="I11" s="47">
        <v>-478649784</v>
      </c>
    </row>
    <row r="12" spans="1:9" ht="28.15" customHeight="1" x14ac:dyDescent="0.2">
      <c r="A12" s="382" t="s">
        <v>238</v>
      </c>
      <c r="B12" s="383"/>
      <c r="C12" s="383"/>
      <c r="D12" s="383"/>
      <c r="E12" s="383"/>
      <c r="F12" s="384"/>
      <c r="G12" s="22">
        <v>5</v>
      </c>
      <c r="H12" s="47">
        <v>0</v>
      </c>
      <c r="I12" s="47">
        <v>0</v>
      </c>
    </row>
    <row r="13" spans="1:9" ht="12.75" customHeight="1" x14ac:dyDescent="0.2">
      <c r="A13" s="382" t="s">
        <v>239</v>
      </c>
      <c r="B13" s="383"/>
      <c r="C13" s="383"/>
      <c r="D13" s="383"/>
      <c r="E13" s="383"/>
      <c r="F13" s="384"/>
      <c r="G13" s="22">
        <v>6</v>
      </c>
      <c r="H13" s="47">
        <v>-70802</v>
      </c>
      <c r="I13" s="47">
        <v>-36905652</v>
      </c>
    </row>
    <row r="14" spans="1:9" ht="12.75" customHeight="1" x14ac:dyDescent="0.2">
      <c r="A14" s="382" t="s">
        <v>240</v>
      </c>
      <c r="B14" s="383"/>
      <c r="C14" s="383"/>
      <c r="D14" s="383"/>
      <c r="E14" s="383"/>
      <c r="F14" s="384"/>
      <c r="G14" s="22">
        <v>7</v>
      </c>
      <c r="H14" s="47">
        <v>64980125</v>
      </c>
      <c r="I14" s="47">
        <v>47827185</v>
      </c>
    </row>
    <row r="15" spans="1:9" ht="12.75" customHeight="1" x14ac:dyDescent="0.2">
      <c r="A15" s="382" t="s">
        <v>241</v>
      </c>
      <c r="B15" s="383"/>
      <c r="C15" s="383"/>
      <c r="D15" s="383"/>
      <c r="E15" s="383"/>
      <c r="F15" s="384"/>
      <c r="G15" s="22">
        <v>8</v>
      </c>
      <c r="H15" s="47">
        <v>21540065</v>
      </c>
      <c r="I15" s="47">
        <v>11406173</v>
      </c>
    </row>
    <row r="16" spans="1:9" ht="12.75" customHeight="1" x14ac:dyDescent="0.2">
      <c r="A16" s="382" t="s">
        <v>242</v>
      </c>
      <c r="B16" s="383"/>
      <c r="C16" s="383"/>
      <c r="D16" s="383"/>
      <c r="E16" s="383"/>
      <c r="F16" s="384"/>
      <c r="G16" s="22">
        <v>9</v>
      </c>
      <c r="H16" s="47">
        <v>-7490750</v>
      </c>
      <c r="I16" s="47">
        <v>6222081</v>
      </c>
    </row>
    <row r="17" spans="1:9" ht="27.6" customHeight="1" x14ac:dyDescent="0.2">
      <c r="A17" s="382" t="s">
        <v>243</v>
      </c>
      <c r="B17" s="383"/>
      <c r="C17" s="383"/>
      <c r="D17" s="383"/>
      <c r="E17" s="383"/>
      <c r="F17" s="384"/>
      <c r="G17" s="22">
        <v>10</v>
      </c>
      <c r="H17" s="47">
        <v>-6615987</v>
      </c>
      <c r="I17" s="47">
        <v>13184014</v>
      </c>
    </row>
    <row r="18" spans="1:9" ht="29.45" customHeight="1" x14ac:dyDescent="0.2">
      <c r="A18" s="361" t="s">
        <v>244</v>
      </c>
      <c r="B18" s="362"/>
      <c r="C18" s="362"/>
      <c r="D18" s="362"/>
      <c r="E18" s="362"/>
      <c r="F18" s="363"/>
      <c r="G18" s="17">
        <v>11</v>
      </c>
      <c r="H18" s="46">
        <f>H8+H9</f>
        <v>561873231</v>
      </c>
      <c r="I18" s="46">
        <f>I8+I9</f>
        <v>604776753</v>
      </c>
    </row>
    <row r="19" spans="1:9" ht="12.75" customHeight="1" x14ac:dyDescent="0.2">
      <c r="A19" s="385" t="s">
        <v>245</v>
      </c>
      <c r="B19" s="386"/>
      <c r="C19" s="386"/>
      <c r="D19" s="386"/>
      <c r="E19" s="386"/>
      <c r="F19" s="387"/>
      <c r="G19" s="17">
        <v>12</v>
      </c>
      <c r="H19" s="46">
        <f>H20+H21+H22+H23</f>
        <v>-23892406</v>
      </c>
      <c r="I19" s="46">
        <f>I20+I21+I22+I23</f>
        <v>8036969</v>
      </c>
    </row>
    <row r="20" spans="1:9" ht="12.75" customHeight="1" x14ac:dyDescent="0.2">
      <c r="A20" s="382" t="s">
        <v>246</v>
      </c>
      <c r="B20" s="383"/>
      <c r="C20" s="383"/>
      <c r="D20" s="383"/>
      <c r="E20" s="383"/>
      <c r="F20" s="384"/>
      <c r="G20" s="22">
        <v>13</v>
      </c>
      <c r="H20" s="47">
        <v>-28430139</v>
      </c>
      <c r="I20" s="47">
        <v>3439327</v>
      </c>
    </row>
    <row r="21" spans="1:9" ht="12.75" customHeight="1" x14ac:dyDescent="0.2">
      <c r="A21" s="382" t="s">
        <v>247</v>
      </c>
      <c r="B21" s="383"/>
      <c r="C21" s="383"/>
      <c r="D21" s="383"/>
      <c r="E21" s="383"/>
      <c r="F21" s="384"/>
      <c r="G21" s="22">
        <v>14</v>
      </c>
      <c r="H21" s="47">
        <v>860713</v>
      </c>
      <c r="I21" s="47">
        <v>13317360</v>
      </c>
    </row>
    <row r="22" spans="1:9" ht="12.75" customHeight="1" x14ac:dyDescent="0.2">
      <c r="A22" s="382" t="s">
        <v>248</v>
      </c>
      <c r="B22" s="383"/>
      <c r="C22" s="383"/>
      <c r="D22" s="383"/>
      <c r="E22" s="383"/>
      <c r="F22" s="384"/>
      <c r="G22" s="22">
        <v>15</v>
      </c>
      <c r="H22" s="47">
        <v>3677020</v>
      </c>
      <c r="I22" s="47">
        <v>-8719718</v>
      </c>
    </row>
    <row r="23" spans="1:9" ht="12.75" customHeight="1" x14ac:dyDescent="0.2">
      <c r="A23" s="382" t="s">
        <v>249</v>
      </c>
      <c r="B23" s="383"/>
      <c r="C23" s="383"/>
      <c r="D23" s="383"/>
      <c r="E23" s="383"/>
      <c r="F23" s="384"/>
      <c r="G23" s="22">
        <v>16</v>
      </c>
      <c r="H23" s="47">
        <v>0</v>
      </c>
      <c r="I23" s="47">
        <v>0</v>
      </c>
    </row>
    <row r="24" spans="1:9" ht="12.75" customHeight="1" x14ac:dyDescent="0.2">
      <c r="A24" s="361" t="s">
        <v>250</v>
      </c>
      <c r="B24" s="362"/>
      <c r="C24" s="362"/>
      <c r="D24" s="362"/>
      <c r="E24" s="362"/>
      <c r="F24" s="363"/>
      <c r="G24" s="17">
        <v>17</v>
      </c>
      <c r="H24" s="46">
        <f>H18+H19</f>
        <v>537980825</v>
      </c>
      <c r="I24" s="46">
        <f>I18+I19</f>
        <v>612813722</v>
      </c>
    </row>
    <row r="25" spans="1:9" ht="12.75" customHeight="1" x14ac:dyDescent="0.2">
      <c r="A25" s="373" t="s">
        <v>251</v>
      </c>
      <c r="B25" s="374"/>
      <c r="C25" s="374"/>
      <c r="D25" s="374"/>
      <c r="E25" s="374"/>
      <c r="F25" s="375"/>
      <c r="G25" s="22">
        <v>18</v>
      </c>
      <c r="H25" s="47">
        <v>-64432651</v>
      </c>
      <c r="I25" s="47">
        <v>-70461419</v>
      </c>
    </row>
    <row r="26" spans="1:9" ht="12.75" customHeight="1" x14ac:dyDescent="0.2">
      <c r="A26" s="373" t="s">
        <v>252</v>
      </c>
      <c r="B26" s="374"/>
      <c r="C26" s="374"/>
      <c r="D26" s="374"/>
      <c r="E26" s="374"/>
      <c r="F26" s="375"/>
      <c r="G26" s="22">
        <v>19</v>
      </c>
      <c r="H26" s="47">
        <v>0</v>
      </c>
      <c r="I26" s="47">
        <v>0</v>
      </c>
    </row>
    <row r="27" spans="1:9" ht="28.9" customHeight="1" x14ac:dyDescent="0.2">
      <c r="A27" s="364" t="s">
        <v>253</v>
      </c>
      <c r="B27" s="365"/>
      <c r="C27" s="365"/>
      <c r="D27" s="365"/>
      <c r="E27" s="365"/>
      <c r="F27" s="366"/>
      <c r="G27" s="18">
        <v>20</v>
      </c>
      <c r="H27" s="48">
        <f>H24+H25+H26</f>
        <v>473548174</v>
      </c>
      <c r="I27" s="48">
        <f>I24+I25+I26</f>
        <v>542352303</v>
      </c>
    </row>
    <row r="28" spans="1:9" x14ac:dyDescent="0.2">
      <c r="A28" s="367" t="s">
        <v>254</v>
      </c>
      <c r="B28" s="368"/>
      <c r="C28" s="368"/>
      <c r="D28" s="368"/>
      <c r="E28" s="368"/>
      <c r="F28" s="368"/>
      <c r="G28" s="368"/>
      <c r="H28" s="368"/>
      <c r="I28" s="369"/>
    </row>
    <row r="29" spans="1:9" ht="23.45" customHeight="1" x14ac:dyDescent="0.2">
      <c r="A29" s="370" t="s">
        <v>255</v>
      </c>
      <c r="B29" s="371"/>
      <c r="C29" s="371"/>
      <c r="D29" s="371"/>
      <c r="E29" s="371"/>
      <c r="F29" s="372"/>
      <c r="G29" s="21">
        <v>21</v>
      </c>
      <c r="H29" s="49">
        <v>3647864</v>
      </c>
      <c r="I29" s="49">
        <v>51088729</v>
      </c>
    </row>
    <row r="30" spans="1:9" ht="12.75" customHeight="1" x14ac:dyDescent="0.2">
      <c r="A30" s="373" t="s">
        <v>256</v>
      </c>
      <c r="B30" s="374"/>
      <c r="C30" s="374"/>
      <c r="D30" s="374"/>
      <c r="E30" s="374"/>
      <c r="F30" s="375"/>
      <c r="G30" s="22">
        <v>22</v>
      </c>
      <c r="H30" s="50">
        <v>0</v>
      </c>
      <c r="I30" s="50">
        <v>300024</v>
      </c>
    </row>
    <row r="31" spans="1:9" ht="12.75" customHeight="1" x14ac:dyDescent="0.2">
      <c r="A31" s="373" t="s">
        <v>257</v>
      </c>
      <c r="B31" s="374"/>
      <c r="C31" s="374"/>
      <c r="D31" s="374"/>
      <c r="E31" s="374"/>
      <c r="F31" s="375"/>
      <c r="G31" s="22">
        <v>23</v>
      </c>
      <c r="H31" s="50">
        <v>82752</v>
      </c>
      <c r="I31" s="50">
        <v>65878</v>
      </c>
    </row>
    <row r="32" spans="1:9" ht="12.75" customHeight="1" x14ac:dyDescent="0.2">
      <c r="A32" s="373" t="s">
        <v>258</v>
      </c>
      <c r="B32" s="374"/>
      <c r="C32" s="374"/>
      <c r="D32" s="374"/>
      <c r="E32" s="374"/>
      <c r="F32" s="375"/>
      <c r="G32" s="22">
        <v>24</v>
      </c>
      <c r="H32" s="50">
        <v>3709</v>
      </c>
      <c r="I32" s="50">
        <v>36839742</v>
      </c>
    </row>
    <row r="33" spans="1:9" ht="12.75" customHeight="1" x14ac:dyDescent="0.2">
      <c r="A33" s="373" t="s">
        <v>259</v>
      </c>
      <c r="B33" s="374"/>
      <c r="C33" s="374"/>
      <c r="D33" s="374"/>
      <c r="E33" s="374"/>
      <c r="F33" s="375"/>
      <c r="G33" s="22">
        <v>25</v>
      </c>
      <c r="H33" s="50">
        <v>182247</v>
      </c>
      <c r="I33" s="50">
        <v>206193</v>
      </c>
    </row>
    <row r="34" spans="1:9" ht="12.75" customHeight="1" x14ac:dyDescent="0.2">
      <c r="A34" s="373" t="s">
        <v>260</v>
      </c>
      <c r="B34" s="374"/>
      <c r="C34" s="374"/>
      <c r="D34" s="374"/>
      <c r="E34" s="374"/>
      <c r="F34" s="375"/>
      <c r="G34" s="22">
        <v>26</v>
      </c>
      <c r="H34" s="50">
        <v>1110110</v>
      </c>
      <c r="I34" s="50">
        <v>0</v>
      </c>
    </row>
    <row r="35" spans="1:9" ht="27.6" customHeight="1" x14ac:dyDescent="0.2">
      <c r="A35" s="361" t="s">
        <v>261</v>
      </c>
      <c r="B35" s="362"/>
      <c r="C35" s="362"/>
      <c r="D35" s="362"/>
      <c r="E35" s="362"/>
      <c r="F35" s="363"/>
      <c r="G35" s="17">
        <v>27</v>
      </c>
      <c r="H35" s="51">
        <f>H29+H30+H31+H32+H33+H34</f>
        <v>5026682</v>
      </c>
      <c r="I35" s="51">
        <f>I29+I30+I31+I32+I33+I34</f>
        <v>88500566</v>
      </c>
    </row>
    <row r="36" spans="1:9" ht="26.45" customHeight="1" x14ac:dyDescent="0.2">
      <c r="A36" s="373" t="s">
        <v>262</v>
      </c>
      <c r="B36" s="374"/>
      <c r="C36" s="374"/>
      <c r="D36" s="374"/>
      <c r="E36" s="374"/>
      <c r="F36" s="375"/>
      <c r="G36" s="22">
        <v>28</v>
      </c>
      <c r="H36" s="50">
        <v>-77557476</v>
      </c>
      <c r="I36" s="50">
        <v>-195657809</v>
      </c>
    </row>
    <row r="37" spans="1:9" ht="12.75" customHeight="1" x14ac:dyDescent="0.2">
      <c r="A37" s="373" t="s">
        <v>263</v>
      </c>
      <c r="B37" s="374"/>
      <c r="C37" s="374"/>
      <c r="D37" s="374"/>
      <c r="E37" s="374"/>
      <c r="F37" s="375"/>
      <c r="G37" s="22">
        <v>29</v>
      </c>
      <c r="H37" s="50">
        <v>0</v>
      </c>
      <c r="I37" s="50">
        <v>-1445856</v>
      </c>
    </row>
    <row r="38" spans="1:9" ht="12.75" customHeight="1" x14ac:dyDescent="0.2">
      <c r="A38" s="373" t="s">
        <v>264</v>
      </c>
      <c r="B38" s="374"/>
      <c r="C38" s="374"/>
      <c r="D38" s="374"/>
      <c r="E38" s="374"/>
      <c r="F38" s="375"/>
      <c r="G38" s="22">
        <v>30</v>
      </c>
      <c r="H38" s="50">
        <v>-5137000</v>
      </c>
      <c r="I38" s="50">
        <v>-2349</v>
      </c>
    </row>
    <row r="39" spans="1:9" ht="12.75" customHeight="1" x14ac:dyDescent="0.2">
      <c r="A39" s="373" t="s">
        <v>265</v>
      </c>
      <c r="B39" s="374"/>
      <c r="C39" s="374"/>
      <c r="D39" s="374"/>
      <c r="E39" s="374"/>
      <c r="F39" s="375"/>
      <c r="G39" s="22">
        <v>31</v>
      </c>
      <c r="H39" s="50">
        <v>0</v>
      </c>
      <c r="I39" s="50">
        <v>0</v>
      </c>
    </row>
    <row r="40" spans="1:9" ht="12.75" customHeight="1" x14ac:dyDescent="0.2">
      <c r="A40" s="373" t="s">
        <v>266</v>
      </c>
      <c r="B40" s="374"/>
      <c r="C40" s="374"/>
      <c r="D40" s="374"/>
      <c r="E40" s="374"/>
      <c r="F40" s="375"/>
      <c r="G40" s="22">
        <v>32</v>
      </c>
      <c r="H40" s="50">
        <v>0</v>
      </c>
      <c r="I40" s="50">
        <v>-41103759</v>
      </c>
    </row>
    <row r="41" spans="1:9" ht="22.9" customHeight="1" x14ac:dyDescent="0.2">
      <c r="A41" s="361" t="s">
        <v>267</v>
      </c>
      <c r="B41" s="362"/>
      <c r="C41" s="362"/>
      <c r="D41" s="362"/>
      <c r="E41" s="362"/>
      <c r="F41" s="363"/>
      <c r="G41" s="17">
        <v>33</v>
      </c>
      <c r="H41" s="51">
        <f>H36+H37+H38+H39+H40</f>
        <v>-82694476</v>
      </c>
      <c r="I41" s="51">
        <f>I36+I37+I38+I39+I40</f>
        <v>-238209773</v>
      </c>
    </row>
    <row r="42" spans="1:9" ht="30.6" customHeight="1" x14ac:dyDescent="0.2">
      <c r="A42" s="364" t="s">
        <v>268</v>
      </c>
      <c r="B42" s="365"/>
      <c r="C42" s="365"/>
      <c r="D42" s="365"/>
      <c r="E42" s="365"/>
      <c r="F42" s="366"/>
      <c r="G42" s="18">
        <v>34</v>
      </c>
      <c r="H42" s="52">
        <f>H35+H41</f>
        <v>-77667794</v>
      </c>
      <c r="I42" s="52">
        <f>I35+I41</f>
        <v>-149709207</v>
      </c>
    </row>
    <row r="43" spans="1:9" x14ac:dyDescent="0.2">
      <c r="A43" s="367" t="s">
        <v>269</v>
      </c>
      <c r="B43" s="368"/>
      <c r="C43" s="368"/>
      <c r="D43" s="368"/>
      <c r="E43" s="368"/>
      <c r="F43" s="368"/>
      <c r="G43" s="368"/>
      <c r="H43" s="368"/>
      <c r="I43" s="369"/>
    </row>
    <row r="44" spans="1:9" ht="12.75" customHeight="1" x14ac:dyDescent="0.2">
      <c r="A44" s="370" t="s">
        <v>270</v>
      </c>
      <c r="B44" s="371"/>
      <c r="C44" s="371"/>
      <c r="D44" s="371"/>
      <c r="E44" s="371"/>
      <c r="F44" s="372"/>
      <c r="G44" s="21">
        <v>35</v>
      </c>
      <c r="H44" s="49">
        <v>0</v>
      </c>
      <c r="I44" s="49">
        <v>0</v>
      </c>
    </row>
    <row r="45" spans="1:9" ht="27.6" customHeight="1" x14ac:dyDescent="0.2">
      <c r="A45" s="373" t="s">
        <v>271</v>
      </c>
      <c r="B45" s="374"/>
      <c r="C45" s="374"/>
      <c r="D45" s="374"/>
      <c r="E45" s="374"/>
      <c r="F45" s="375"/>
      <c r="G45" s="22">
        <v>36</v>
      </c>
      <c r="H45" s="50">
        <v>0</v>
      </c>
      <c r="I45" s="50">
        <v>0</v>
      </c>
    </row>
    <row r="46" spans="1:9" ht="12.75" customHeight="1" x14ac:dyDescent="0.2">
      <c r="A46" s="373" t="s">
        <v>272</v>
      </c>
      <c r="B46" s="374"/>
      <c r="C46" s="374"/>
      <c r="D46" s="374"/>
      <c r="E46" s="374"/>
      <c r="F46" s="375"/>
      <c r="G46" s="22">
        <v>37</v>
      </c>
      <c r="H46" s="50">
        <v>344850628</v>
      </c>
      <c r="I46" s="50">
        <v>60173752</v>
      </c>
    </row>
    <row r="47" spans="1:9" ht="12.75" customHeight="1" x14ac:dyDescent="0.2">
      <c r="A47" s="373" t="s">
        <v>273</v>
      </c>
      <c r="B47" s="374"/>
      <c r="C47" s="374"/>
      <c r="D47" s="374"/>
      <c r="E47" s="374"/>
      <c r="F47" s="375"/>
      <c r="G47" s="22">
        <v>38</v>
      </c>
      <c r="H47" s="50">
        <v>1756034</v>
      </c>
      <c r="I47" s="50">
        <v>2739417</v>
      </c>
    </row>
    <row r="48" spans="1:9" ht="25.9" customHeight="1" x14ac:dyDescent="0.2">
      <c r="A48" s="361" t="s">
        <v>274</v>
      </c>
      <c r="B48" s="362"/>
      <c r="C48" s="362"/>
      <c r="D48" s="362"/>
      <c r="E48" s="362"/>
      <c r="F48" s="363"/>
      <c r="G48" s="17">
        <v>39</v>
      </c>
      <c r="H48" s="51">
        <f>H44+H45+H46+H47</f>
        <v>346606662</v>
      </c>
      <c r="I48" s="51">
        <f>I44+I45+I46+I47</f>
        <v>62913169</v>
      </c>
    </row>
    <row r="49" spans="1:9" ht="24.6" customHeight="1" x14ac:dyDescent="0.2">
      <c r="A49" s="373" t="s">
        <v>275</v>
      </c>
      <c r="B49" s="374"/>
      <c r="C49" s="374"/>
      <c r="D49" s="374"/>
      <c r="E49" s="374"/>
      <c r="F49" s="375"/>
      <c r="G49" s="22">
        <v>40</v>
      </c>
      <c r="H49" s="50">
        <v>-679122703</v>
      </c>
      <c r="I49" s="50">
        <v>-439471201</v>
      </c>
    </row>
    <row r="50" spans="1:9" ht="12.75" customHeight="1" x14ac:dyDescent="0.2">
      <c r="A50" s="373" t="s">
        <v>276</v>
      </c>
      <c r="B50" s="374"/>
      <c r="C50" s="374"/>
      <c r="D50" s="374"/>
      <c r="E50" s="374"/>
      <c r="F50" s="375"/>
      <c r="G50" s="22">
        <v>41</v>
      </c>
      <c r="H50" s="50">
        <v>0</v>
      </c>
      <c r="I50" s="50">
        <v>-146265488</v>
      </c>
    </row>
    <row r="51" spans="1:9" ht="12.75" customHeight="1" x14ac:dyDescent="0.2">
      <c r="A51" s="373" t="s">
        <v>277</v>
      </c>
      <c r="B51" s="374"/>
      <c r="C51" s="374"/>
      <c r="D51" s="374"/>
      <c r="E51" s="374"/>
      <c r="F51" s="375"/>
      <c r="G51" s="22">
        <v>42</v>
      </c>
      <c r="H51" s="50">
        <v>0</v>
      </c>
      <c r="I51" s="50"/>
    </row>
    <row r="52" spans="1:9" ht="26.45" customHeight="1" x14ac:dyDescent="0.2">
      <c r="A52" s="373" t="s">
        <v>278</v>
      </c>
      <c r="B52" s="374"/>
      <c r="C52" s="374"/>
      <c r="D52" s="374"/>
      <c r="E52" s="374"/>
      <c r="F52" s="375"/>
      <c r="G52" s="22">
        <v>43</v>
      </c>
      <c r="H52" s="50">
        <v>0</v>
      </c>
      <c r="I52" s="50">
        <v>0</v>
      </c>
    </row>
    <row r="53" spans="1:9" ht="12.75" customHeight="1" x14ac:dyDescent="0.2">
      <c r="A53" s="373" t="s">
        <v>279</v>
      </c>
      <c r="B53" s="374"/>
      <c r="C53" s="374"/>
      <c r="D53" s="374"/>
      <c r="E53" s="374"/>
      <c r="F53" s="375"/>
      <c r="G53" s="22">
        <v>44</v>
      </c>
      <c r="H53" s="50">
        <v>-4197790</v>
      </c>
      <c r="I53" s="50">
        <v>-5401059</v>
      </c>
    </row>
    <row r="54" spans="1:9" ht="27.6" customHeight="1" x14ac:dyDescent="0.2">
      <c r="A54" s="361" t="s">
        <v>280</v>
      </c>
      <c r="B54" s="362"/>
      <c r="C54" s="362"/>
      <c r="D54" s="362"/>
      <c r="E54" s="362"/>
      <c r="F54" s="363"/>
      <c r="G54" s="17">
        <v>45</v>
      </c>
      <c r="H54" s="51">
        <f>H49+H50+H51+H52+H53</f>
        <v>-683320493</v>
      </c>
      <c r="I54" s="51">
        <f>I49+I50+I51+I52+I53</f>
        <v>-591137748</v>
      </c>
    </row>
    <row r="55" spans="1:9" ht="27.6" customHeight="1" x14ac:dyDescent="0.2">
      <c r="A55" s="376" t="s">
        <v>281</v>
      </c>
      <c r="B55" s="377"/>
      <c r="C55" s="377"/>
      <c r="D55" s="377"/>
      <c r="E55" s="377"/>
      <c r="F55" s="378"/>
      <c r="G55" s="17">
        <v>46</v>
      </c>
      <c r="H55" s="51">
        <f>H48+H54</f>
        <v>-336713831</v>
      </c>
      <c r="I55" s="51">
        <f>I48+I54</f>
        <v>-528224579</v>
      </c>
    </row>
    <row r="56" spans="1:9" x14ac:dyDescent="0.2">
      <c r="A56" s="308" t="s">
        <v>282</v>
      </c>
      <c r="B56" s="309"/>
      <c r="C56" s="309"/>
      <c r="D56" s="309"/>
      <c r="E56" s="309"/>
      <c r="F56" s="310"/>
      <c r="G56" s="22">
        <v>47</v>
      </c>
      <c r="H56" s="50">
        <v>0</v>
      </c>
      <c r="I56" s="50">
        <v>0</v>
      </c>
    </row>
    <row r="57" spans="1:9" ht="27" customHeight="1" x14ac:dyDescent="0.2">
      <c r="A57" s="376" t="s">
        <v>283</v>
      </c>
      <c r="B57" s="377"/>
      <c r="C57" s="377"/>
      <c r="D57" s="377"/>
      <c r="E57" s="377"/>
      <c r="F57" s="378"/>
      <c r="G57" s="17">
        <v>48</v>
      </c>
      <c r="H57" s="51">
        <f>H27+H42+H55+H56</f>
        <v>59166549</v>
      </c>
      <c r="I57" s="51">
        <f>I27+I42+I55+I56</f>
        <v>-135581483</v>
      </c>
    </row>
    <row r="58" spans="1:9" ht="27" customHeight="1" x14ac:dyDescent="0.2">
      <c r="A58" s="379" t="s">
        <v>284</v>
      </c>
      <c r="B58" s="380"/>
      <c r="C58" s="380"/>
      <c r="D58" s="380"/>
      <c r="E58" s="380"/>
      <c r="F58" s="381"/>
      <c r="G58" s="22">
        <v>49</v>
      </c>
      <c r="H58" s="50">
        <v>522973238</v>
      </c>
      <c r="I58" s="114">
        <v>582139787</v>
      </c>
    </row>
    <row r="59" spans="1:9" ht="28.9" customHeight="1" x14ac:dyDescent="0.2">
      <c r="A59" s="364" t="s">
        <v>285</v>
      </c>
      <c r="B59" s="365"/>
      <c r="C59" s="365"/>
      <c r="D59" s="365"/>
      <c r="E59" s="365"/>
      <c r="F59" s="366"/>
      <c r="G59" s="18">
        <v>50</v>
      </c>
      <c r="H59" s="52">
        <f>H57+H58</f>
        <v>582139787</v>
      </c>
      <c r="I59" s="52">
        <f>I57+I58</f>
        <v>446558304</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1"/>
    <col min="8" max="9" width="20.71093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60" t="s">
        <v>286</v>
      </c>
      <c r="B1" s="388"/>
      <c r="C1" s="388"/>
      <c r="D1" s="388"/>
      <c r="E1" s="388"/>
      <c r="F1" s="388"/>
      <c r="G1" s="388"/>
      <c r="H1" s="388"/>
      <c r="I1" s="388"/>
    </row>
    <row r="2" spans="1:9" ht="12.75" customHeight="1" x14ac:dyDescent="0.2">
      <c r="A2" s="359" t="s">
        <v>287</v>
      </c>
      <c r="B2" s="314"/>
      <c r="C2" s="314"/>
      <c r="D2" s="314"/>
      <c r="E2" s="314"/>
      <c r="F2" s="314"/>
      <c r="G2" s="314"/>
      <c r="H2" s="314"/>
      <c r="I2" s="314"/>
    </row>
    <row r="3" spans="1:9" x14ac:dyDescent="0.2">
      <c r="A3" s="390" t="s">
        <v>288</v>
      </c>
      <c r="B3" s="398"/>
      <c r="C3" s="398"/>
      <c r="D3" s="398"/>
      <c r="E3" s="398"/>
      <c r="F3" s="398"/>
      <c r="G3" s="398"/>
      <c r="H3" s="398"/>
      <c r="I3" s="398"/>
    </row>
    <row r="4" spans="1:9" x14ac:dyDescent="0.2">
      <c r="A4" s="389" t="s">
        <v>289</v>
      </c>
      <c r="B4" s="321"/>
      <c r="C4" s="321"/>
      <c r="D4" s="321"/>
      <c r="E4" s="321"/>
      <c r="F4" s="321"/>
      <c r="G4" s="321"/>
      <c r="H4" s="321"/>
      <c r="I4" s="322"/>
    </row>
    <row r="5" spans="1:9" ht="24" thickBot="1" x14ac:dyDescent="0.25">
      <c r="A5" s="392" t="s">
        <v>290</v>
      </c>
      <c r="B5" s="393"/>
      <c r="C5" s="393"/>
      <c r="D5" s="393"/>
      <c r="E5" s="393"/>
      <c r="F5" s="394"/>
      <c r="G5" s="12" t="s">
        <v>291</v>
      </c>
      <c r="H5" s="44" t="s">
        <v>292</v>
      </c>
      <c r="I5" s="44" t="s">
        <v>293</v>
      </c>
    </row>
    <row r="6" spans="1:9" x14ac:dyDescent="0.2">
      <c r="A6" s="395">
        <v>1</v>
      </c>
      <c r="B6" s="396"/>
      <c r="C6" s="396"/>
      <c r="D6" s="396"/>
      <c r="E6" s="396"/>
      <c r="F6" s="397"/>
      <c r="G6" s="14">
        <v>2</v>
      </c>
      <c r="H6" s="20" t="s">
        <v>294</v>
      </c>
      <c r="I6" s="20" t="s">
        <v>295</v>
      </c>
    </row>
    <row r="7" spans="1:9" x14ac:dyDescent="0.2">
      <c r="A7" s="367" t="s">
        <v>296</v>
      </c>
      <c r="B7" s="405"/>
      <c r="C7" s="405"/>
      <c r="D7" s="405"/>
      <c r="E7" s="405"/>
      <c r="F7" s="405"/>
      <c r="G7" s="405"/>
      <c r="H7" s="405"/>
      <c r="I7" s="406"/>
    </row>
    <row r="8" spans="1:9" x14ac:dyDescent="0.2">
      <c r="A8" s="407" t="s">
        <v>297</v>
      </c>
      <c r="B8" s="407"/>
      <c r="C8" s="407"/>
      <c r="D8" s="407"/>
      <c r="E8" s="407"/>
      <c r="F8" s="407"/>
      <c r="G8" s="15">
        <v>1</v>
      </c>
      <c r="H8" s="49"/>
      <c r="I8" s="49"/>
    </row>
    <row r="9" spans="1:9" x14ac:dyDescent="0.2">
      <c r="A9" s="344" t="s">
        <v>298</v>
      </c>
      <c r="B9" s="344"/>
      <c r="C9" s="344"/>
      <c r="D9" s="344"/>
      <c r="E9" s="344"/>
      <c r="F9" s="344"/>
      <c r="G9" s="16">
        <v>2</v>
      </c>
      <c r="H9" s="50"/>
      <c r="I9" s="50"/>
    </row>
    <row r="10" spans="1:9" x14ac:dyDescent="0.2">
      <c r="A10" s="344" t="s">
        <v>299</v>
      </c>
      <c r="B10" s="344"/>
      <c r="C10" s="344"/>
      <c r="D10" s="344"/>
      <c r="E10" s="344"/>
      <c r="F10" s="344"/>
      <c r="G10" s="16">
        <v>3</v>
      </c>
      <c r="H10" s="50"/>
      <c r="I10" s="50"/>
    </row>
    <row r="11" spans="1:9" x14ac:dyDescent="0.2">
      <c r="A11" s="344" t="s">
        <v>300</v>
      </c>
      <c r="B11" s="344"/>
      <c r="C11" s="344"/>
      <c r="D11" s="344"/>
      <c r="E11" s="344"/>
      <c r="F11" s="344"/>
      <c r="G11" s="16">
        <v>4</v>
      </c>
      <c r="H11" s="50"/>
      <c r="I11" s="50"/>
    </row>
    <row r="12" spans="1:9" x14ac:dyDescent="0.2">
      <c r="A12" s="344" t="s">
        <v>414</v>
      </c>
      <c r="B12" s="344"/>
      <c r="C12" s="344"/>
      <c r="D12" s="344"/>
      <c r="E12" s="344"/>
      <c r="F12" s="344"/>
      <c r="G12" s="16">
        <v>5</v>
      </c>
      <c r="H12" s="50"/>
      <c r="I12" s="50"/>
    </row>
    <row r="13" spans="1:9" x14ac:dyDescent="0.2">
      <c r="A13" s="343" t="s">
        <v>415</v>
      </c>
      <c r="B13" s="343"/>
      <c r="C13" s="343"/>
      <c r="D13" s="343"/>
      <c r="E13" s="343"/>
      <c r="F13" s="343"/>
      <c r="G13" s="17">
        <v>6</v>
      </c>
      <c r="H13" s="51">
        <f>SUM(H8:H12)</f>
        <v>0</v>
      </c>
      <c r="I13" s="51">
        <f>SUM(I8:I12)</f>
        <v>0</v>
      </c>
    </row>
    <row r="14" spans="1:9" x14ac:dyDescent="0.2">
      <c r="A14" s="344" t="s">
        <v>416</v>
      </c>
      <c r="B14" s="344"/>
      <c r="C14" s="344"/>
      <c r="D14" s="344"/>
      <c r="E14" s="344"/>
      <c r="F14" s="344"/>
      <c r="G14" s="16">
        <v>7</v>
      </c>
      <c r="H14" s="50"/>
      <c r="I14" s="50"/>
    </row>
    <row r="15" spans="1:9" x14ac:dyDescent="0.2">
      <c r="A15" s="344" t="s">
        <v>417</v>
      </c>
      <c r="B15" s="344"/>
      <c r="C15" s="344"/>
      <c r="D15" s="344"/>
      <c r="E15" s="344"/>
      <c r="F15" s="344"/>
      <c r="G15" s="16">
        <v>8</v>
      </c>
      <c r="H15" s="50"/>
      <c r="I15" s="50"/>
    </row>
    <row r="16" spans="1:9" x14ac:dyDescent="0.2">
      <c r="A16" s="344" t="s">
        <v>419</v>
      </c>
      <c r="B16" s="344"/>
      <c r="C16" s="344"/>
      <c r="D16" s="344"/>
      <c r="E16" s="344"/>
      <c r="F16" s="344"/>
      <c r="G16" s="16">
        <v>9</v>
      </c>
      <c r="H16" s="50"/>
      <c r="I16" s="50"/>
    </row>
    <row r="17" spans="1:9" x14ac:dyDescent="0.2">
      <c r="A17" s="344" t="s">
        <v>420</v>
      </c>
      <c r="B17" s="344"/>
      <c r="C17" s="344"/>
      <c r="D17" s="344"/>
      <c r="E17" s="344"/>
      <c r="F17" s="344"/>
      <c r="G17" s="16">
        <v>10</v>
      </c>
      <c r="H17" s="50"/>
      <c r="I17" s="50"/>
    </row>
    <row r="18" spans="1:9" x14ac:dyDescent="0.2">
      <c r="A18" s="344" t="s">
        <v>421</v>
      </c>
      <c r="B18" s="344"/>
      <c r="C18" s="344"/>
      <c r="D18" s="344"/>
      <c r="E18" s="344"/>
      <c r="F18" s="344"/>
      <c r="G18" s="16">
        <v>11</v>
      </c>
      <c r="H18" s="50"/>
      <c r="I18" s="50"/>
    </row>
    <row r="19" spans="1:9" x14ac:dyDescent="0.2">
      <c r="A19" s="344" t="s">
        <v>422</v>
      </c>
      <c r="B19" s="344"/>
      <c r="C19" s="344"/>
      <c r="D19" s="344"/>
      <c r="E19" s="344"/>
      <c r="F19" s="344"/>
      <c r="G19" s="16">
        <v>12</v>
      </c>
      <c r="H19" s="50"/>
      <c r="I19" s="50"/>
    </row>
    <row r="20" spans="1:9" ht="25.9" customHeight="1" x14ac:dyDescent="0.2">
      <c r="A20" s="403" t="s">
        <v>423</v>
      </c>
      <c r="B20" s="404"/>
      <c r="C20" s="404"/>
      <c r="D20" s="404"/>
      <c r="E20" s="404"/>
      <c r="F20" s="404"/>
      <c r="G20" s="18">
        <v>13</v>
      </c>
      <c r="H20" s="52">
        <f>H14+H15+H16+H17+H18+H19</f>
        <v>0</v>
      </c>
      <c r="I20" s="52">
        <f>I14+I15+I16+I17+I18+I19</f>
        <v>0</v>
      </c>
    </row>
    <row r="21" spans="1:9" ht="25.9" customHeight="1" x14ac:dyDescent="0.2">
      <c r="A21" s="403" t="s">
        <v>424</v>
      </c>
      <c r="B21" s="404"/>
      <c r="C21" s="404"/>
      <c r="D21" s="404"/>
      <c r="E21" s="404"/>
      <c r="F21" s="404"/>
      <c r="G21" s="18">
        <v>14</v>
      </c>
      <c r="H21" s="52">
        <f>H13+H20</f>
        <v>0</v>
      </c>
      <c r="I21" s="52">
        <f>I13+I20</f>
        <v>0</v>
      </c>
    </row>
    <row r="22" spans="1:9" x14ac:dyDescent="0.2">
      <c r="A22" s="367" t="s">
        <v>301</v>
      </c>
      <c r="B22" s="405"/>
      <c r="C22" s="405"/>
      <c r="D22" s="405"/>
      <c r="E22" s="405"/>
      <c r="F22" s="405"/>
      <c r="G22" s="405"/>
      <c r="H22" s="405"/>
      <c r="I22" s="406"/>
    </row>
    <row r="23" spans="1:9" ht="26.45" customHeight="1" x14ac:dyDescent="0.2">
      <c r="A23" s="407" t="s">
        <v>418</v>
      </c>
      <c r="B23" s="407"/>
      <c r="C23" s="407"/>
      <c r="D23" s="407"/>
      <c r="E23" s="407"/>
      <c r="F23" s="407"/>
      <c r="G23" s="15">
        <v>15</v>
      </c>
      <c r="H23" s="49"/>
      <c r="I23" s="49"/>
    </row>
    <row r="24" spans="1:9" x14ac:dyDescent="0.2">
      <c r="A24" s="344" t="s">
        <v>302</v>
      </c>
      <c r="B24" s="344"/>
      <c r="C24" s="344"/>
      <c r="D24" s="344"/>
      <c r="E24" s="344"/>
      <c r="F24" s="344"/>
      <c r="G24" s="15">
        <v>16</v>
      </c>
      <c r="H24" s="50"/>
      <c r="I24" s="50"/>
    </row>
    <row r="25" spans="1:9" x14ac:dyDescent="0.2">
      <c r="A25" s="344" t="s">
        <v>303</v>
      </c>
      <c r="B25" s="344"/>
      <c r="C25" s="344"/>
      <c r="D25" s="344"/>
      <c r="E25" s="344"/>
      <c r="F25" s="344"/>
      <c r="G25" s="15">
        <v>17</v>
      </c>
      <c r="H25" s="50"/>
      <c r="I25" s="50"/>
    </row>
    <row r="26" spans="1:9" x14ac:dyDescent="0.2">
      <c r="A26" s="344" t="s">
        <v>304</v>
      </c>
      <c r="B26" s="344"/>
      <c r="C26" s="344"/>
      <c r="D26" s="344"/>
      <c r="E26" s="344"/>
      <c r="F26" s="344"/>
      <c r="G26" s="15">
        <v>18</v>
      </c>
      <c r="H26" s="50"/>
      <c r="I26" s="50"/>
    </row>
    <row r="27" spans="1:9" x14ac:dyDescent="0.2">
      <c r="A27" s="344" t="s">
        <v>305</v>
      </c>
      <c r="B27" s="344"/>
      <c r="C27" s="344"/>
      <c r="D27" s="344"/>
      <c r="E27" s="344"/>
      <c r="F27" s="344"/>
      <c r="G27" s="15">
        <v>19</v>
      </c>
      <c r="H27" s="50"/>
      <c r="I27" s="50"/>
    </row>
    <row r="28" spans="1:9" x14ac:dyDescent="0.2">
      <c r="A28" s="344" t="s">
        <v>306</v>
      </c>
      <c r="B28" s="344"/>
      <c r="C28" s="344"/>
      <c r="D28" s="344"/>
      <c r="E28" s="344"/>
      <c r="F28" s="344"/>
      <c r="G28" s="15">
        <v>20</v>
      </c>
      <c r="H28" s="50"/>
      <c r="I28" s="50"/>
    </row>
    <row r="29" spans="1:9" ht="25.15" customHeight="1" x14ac:dyDescent="0.2">
      <c r="A29" s="343" t="s">
        <v>425</v>
      </c>
      <c r="B29" s="343"/>
      <c r="C29" s="343"/>
      <c r="D29" s="343"/>
      <c r="E29" s="343"/>
      <c r="F29" s="343"/>
      <c r="G29" s="17">
        <v>21</v>
      </c>
      <c r="H29" s="51">
        <f>SUM(H23:H28)</f>
        <v>0</v>
      </c>
      <c r="I29" s="51">
        <f>SUM(I23:I28)</f>
        <v>0</v>
      </c>
    </row>
    <row r="30" spans="1:9" ht="21" customHeight="1" x14ac:dyDescent="0.2">
      <c r="A30" s="344" t="s">
        <v>307</v>
      </c>
      <c r="B30" s="344"/>
      <c r="C30" s="344"/>
      <c r="D30" s="344"/>
      <c r="E30" s="344"/>
      <c r="F30" s="344"/>
      <c r="G30" s="16">
        <v>22</v>
      </c>
      <c r="H30" s="50"/>
      <c r="I30" s="50"/>
    </row>
    <row r="31" spans="1:9" x14ac:dyDescent="0.2">
      <c r="A31" s="344" t="s">
        <v>308</v>
      </c>
      <c r="B31" s="344"/>
      <c r="C31" s="344"/>
      <c r="D31" s="344"/>
      <c r="E31" s="344"/>
      <c r="F31" s="344"/>
      <c r="G31" s="16">
        <v>23</v>
      </c>
      <c r="H31" s="50"/>
      <c r="I31" s="50"/>
    </row>
    <row r="32" spans="1:9" x14ac:dyDescent="0.2">
      <c r="A32" s="344" t="s">
        <v>309</v>
      </c>
      <c r="B32" s="344"/>
      <c r="C32" s="344"/>
      <c r="D32" s="344"/>
      <c r="E32" s="344"/>
      <c r="F32" s="344"/>
      <c r="G32" s="16">
        <v>24</v>
      </c>
      <c r="H32" s="50"/>
      <c r="I32" s="50"/>
    </row>
    <row r="33" spans="1:9" x14ac:dyDescent="0.2">
      <c r="A33" s="344" t="s">
        <v>310</v>
      </c>
      <c r="B33" s="344"/>
      <c r="C33" s="344"/>
      <c r="D33" s="344"/>
      <c r="E33" s="344"/>
      <c r="F33" s="344"/>
      <c r="G33" s="16">
        <v>25</v>
      </c>
      <c r="H33" s="50"/>
      <c r="I33" s="50"/>
    </row>
    <row r="34" spans="1:9" x14ac:dyDescent="0.2">
      <c r="A34" s="344" t="s">
        <v>311</v>
      </c>
      <c r="B34" s="344"/>
      <c r="C34" s="344"/>
      <c r="D34" s="344"/>
      <c r="E34" s="344"/>
      <c r="F34" s="344"/>
      <c r="G34" s="16">
        <v>26</v>
      </c>
      <c r="H34" s="50"/>
      <c r="I34" s="50"/>
    </row>
    <row r="35" spans="1:9" ht="28.9" customHeight="1" x14ac:dyDescent="0.2">
      <c r="A35" s="343" t="s">
        <v>426</v>
      </c>
      <c r="B35" s="343"/>
      <c r="C35" s="343"/>
      <c r="D35" s="343"/>
      <c r="E35" s="343"/>
      <c r="F35" s="343"/>
      <c r="G35" s="17">
        <v>27</v>
      </c>
      <c r="H35" s="51">
        <f>SUM(H30:H34)</f>
        <v>0</v>
      </c>
      <c r="I35" s="51">
        <f>SUM(I30:I34)</f>
        <v>0</v>
      </c>
    </row>
    <row r="36" spans="1:9" ht="26.45" customHeight="1" x14ac:dyDescent="0.2">
      <c r="A36" s="403" t="s">
        <v>427</v>
      </c>
      <c r="B36" s="404"/>
      <c r="C36" s="404"/>
      <c r="D36" s="404"/>
      <c r="E36" s="404"/>
      <c r="F36" s="404"/>
      <c r="G36" s="18">
        <v>28</v>
      </c>
      <c r="H36" s="52">
        <f>H29+H35</f>
        <v>0</v>
      </c>
      <c r="I36" s="52">
        <f>I29+I35</f>
        <v>0</v>
      </c>
    </row>
    <row r="37" spans="1:9" x14ac:dyDescent="0.2">
      <c r="A37" s="367" t="s">
        <v>312</v>
      </c>
      <c r="B37" s="405"/>
      <c r="C37" s="405"/>
      <c r="D37" s="405"/>
      <c r="E37" s="405"/>
      <c r="F37" s="405"/>
      <c r="G37" s="405">
        <v>0</v>
      </c>
      <c r="H37" s="405"/>
      <c r="I37" s="406"/>
    </row>
    <row r="38" spans="1:9" x14ac:dyDescent="0.2">
      <c r="A38" s="408" t="s">
        <v>313</v>
      </c>
      <c r="B38" s="408"/>
      <c r="C38" s="408"/>
      <c r="D38" s="408"/>
      <c r="E38" s="408"/>
      <c r="F38" s="408"/>
      <c r="G38" s="15">
        <v>29</v>
      </c>
      <c r="H38" s="49"/>
      <c r="I38" s="49"/>
    </row>
    <row r="39" spans="1:9" ht="21.6" customHeight="1" x14ac:dyDescent="0.2">
      <c r="A39" s="286" t="s">
        <v>314</v>
      </c>
      <c r="B39" s="286"/>
      <c r="C39" s="286"/>
      <c r="D39" s="286"/>
      <c r="E39" s="286"/>
      <c r="F39" s="286"/>
      <c r="G39" s="15">
        <v>30</v>
      </c>
      <c r="H39" s="49"/>
      <c r="I39" s="49"/>
    </row>
    <row r="40" spans="1:9" x14ac:dyDescent="0.2">
      <c r="A40" s="286" t="s">
        <v>315</v>
      </c>
      <c r="B40" s="286"/>
      <c r="C40" s="286"/>
      <c r="D40" s="286"/>
      <c r="E40" s="286"/>
      <c r="F40" s="286"/>
      <c r="G40" s="15">
        <v>31</v>
      </c>
      <c r="H40" s="49"/>
      <c r="I40" s="49"/>
    </row>
    <row r="41" spans="1:9" x14ac:dyDescent="0.2">
      <c r="A41" s="286" t="s">
        <v>316</v>
      </c>
      <c r="B41" s="286"/>
      <c r="C41" s="286"/>
      <c r="D41" s="286"/>
      <c r="E41" s="286"/>
      <c r="F41" s="286"/>
      <c r="G41" s="15">
        <v>32</v>
      </c>
      <c r="H41" s="49"/>
      <c r="I41" s="49"/>
    </row>
    <row r="42" spans="1:9" ht="26.45" customHeight="1" x14ac:dyDescent="0.2">
      <c r="A42" s="343" t="s">
        <v>428</v>
      </c>
      <c r="B42" s="343"/>
      <c r="C42" s="343"/>
      <c r="D42" s="343"/>
      <c r="E42" s="343"/>
      <c r="F42" s="343"/>
      <c r="G42" s="17">
        <v>33</v>
      </c>
      <c r="H42" s="51">
        <f>H41+H40+H39+H38</f>
        <v>0</v>
      </c>
      <c r="I42" s="51">
        <f>I41+I40+I39+I38</f>
        <v>0</v>
      </c>
    </row>
    <row r="43" spans="1:9" ht="22.9" customHeight="1" x14ac:dyDescent="0.2">
      <c r="A43" s="286" t="s">
        <v>317</v>
      </c>
      <c r="B43" s="286"/>
      <c r="C43" s="286"/>
      <c r="D43" s="286"/>
      <c r="E43" s="286"/>
      <c r="F43" s="286"/>
      <c r="G43" s="16">
        <v>34</v>
      </c>
      <c r="H43" s="50"/>
      <c r="I43" s="50"/>
    </row>
    <row r="44" spans="1:9" x14ac:dyDescent="0.2">
      <c r="A44" s="286" t="s">
        <v>318</v>
      </c>
      <c r="B44" s="286"/>
      <c r="C44" s="286"/>
      <c r="D44" s="286"/>
      <c r="E44" s="286"/>
      <c r="F44" s="286"/>
      <c r="G44" s="16">
        <v>35</v>
      </c>
      <c r="H44" s="50"/>
      <c r="I44" s="50"/>
    </row>
    <row r="45" spans="1:9" x14ac:dyDescent="0.2">
      <c r="A45" s="286" t="s">
        <v>319</v>
      </c>
      <c r="B45" s="286"/>
      <c r="C45" s="286"/>
      <c r="D45" s="286"/>
      <c r="E45" s="286"/>
      <c r="F45" s="286"/>
      <c r="G45" s="16">
        <v>36</v>
      </c>
      <c r="H45" s="50"/>
      <c r="I45" s="50"/>
    </row>
    <row r="46" spans="1:9" ht="25.15" customHeight="1" x14ac:dyDescent="0.2">
      <c r="A46" s="286" t="s">
        <v>320</v>
      </c>
      <c r="B46" s="286"/>
      <c r="C46" s="286"/>
      <c r="D46" s="286"/>
      <c r="E46" s="286"/>
      <c r="F46" s="286"/>
      <c r="G46" s="16">
        <v>37</v>
      </c>
      <c r="H46" s="50"/>
      <c r="I46" s="50"/>
    </row>
    <row r="47" spans="1:9" x14ac:dyDescent="0.2">
      <c r="A47" s="286" t="s">
        <v>321</v>
      </c>
      <c r="B47" s="286"/>
      <c r="C47" s="286"/>
      <c r="D47" s="286"/>
      <c r="E47" s="286"/>
      <c r="F47" s="286"/>
      <c r="G47" s="16">
        <v>38</v>
      </c>
      <c r="H47" s="50"/>
      <c r="I47" s="50"/>
    </row>
    <row r="48" spans="1:9" ht="25.15" customHeight="1" x14ac:dyDescent="0.2">
      <c r="A48" s="343" t="s">
        <v>429</v>
      </c>
      <c r="B48" s="343"/>
      <c r="C48" s="343"/>
      <c r="D48" s="343"/>
      <c r="E48" s="343"/>
      <c r="F48" s="343"/>
      <c r="G48" s="17">
        <v>39</v>
      </c>
      <c r="H48" s="51">
        <f>H47+H46+H45+H44+H43</f>
        <v>0</v>
      </c>
      <c r="I48" s="51">
        <f>I47+I46+I45+I44+I43</f>
        <v>0</v>
      </c>
    </row>
    <row r="49" spans="1:9" ht="28.15" customHeight="1" x14ac:dyDescent="0.2">
      <c r="A49" s="334" t="s">
        <v>430</v>
      </c>
      <c r="B49" s="335"/>
      <c r="C49" s="335"/>
      <c r="D49" s="335"/>
      <c r="E49" s="335"/>
      <c r="F49" s="335"/>
      <c r="G49" s="17">
        <v>40</v>
      </c>
      <c r="H49" s="51">
        <f>H48+H42</f>
        <v>0</v>
      </c>
      <c r="I49" s="51">
        <f>I48+I42</f>
        <v>0</v>
      </c>
    </row>
    <row r="50" spans="1:9" x14ac:dyDescent="0.2">
      <c r="A50" s="344" t="s">
        <v>322</v>
      </c>
      <c r="B50" s="344"/>
      <c r="C50" s="344"/>
      <c r="D50" s="344"/>
      <c r="E50" s="344"/>
      <c r="F50" s="344"/>
      <c r="G50" s="16">
        <v>41</v>
      </c>
      <c r="H50" s="50"/>
      <c r="I50" s="50"/>
    </row>
    <row r="51" spans="1:9" ht="24.6" customHeight="1" x14ac:dyDescent="0.2">
      <c r="A51" s="334" t="s">
        <v>431</v>
      </c>
      <c r="B51" s="335"/>
      <c r="C51" s="335"/>
      <c r="D51" s="335"/>
      <c r="E51" s="335"/>
      <c r="F51" s="335"/>
      <c r="G51" s="17">
        <v>42</v>
      </c>
      <c r="H51" s="51">
        <f>H21+H36+H49+H50</f>
        <v>0</v>
      </c>
      <c r="I51" s="51">
        <f>I21+I36+I49+I50</f>
        <v>0</v>
      </c>
    </row>
    <row r="52" spans="1:9" ht="23.45" customHeight="1" x14ac:dyDescent="0.2">
      <c r="A52" s="401" t="s">
        <v>432</v>
      </c>
      <c r="B52" s="402"/>
      <c r="C52" s="402"/>
      <c r="D52" s="402"/>
      <c r="E52" s="402"/>
      <c r="F52" s="402"/>
      <c r="G52" s="16">
        <v>43</v>
      </c>
      <c r="H52" s="50"/>
      <c r="I52" s="50"/>
    </row>
    <row r="53" spans="1:9" ht="28.9" customHeight="1" x14ac:dyDescent="0.2">
      <c r="A53" s="399" t="s">
        <v>433</v>
      </c>
      <c r="B53" s="400"/>
      <c r="C53" s="400"/>
      <c r="D53" s="400"/>
      <c r="E53" s="400"/>
      <c r="F53" s="400"/>
      <c r="G53" s="19">
        <v>44</v>
      </c>
      <c r="H53" s="65">
        <f>H52+H51</f>
        <v>0</v>
      </c>
      <c r="I53" s="65">
        <f>I52+I51</f>
        <v>0</v>
      </c>
    </row>
  </sheetData>
  <sheetProtection algorithmName="SHA-512" hashValue="zs79uqijfzws3cehZvpm1dJ6N3JeKVCZIXxty16N1js+i33uzZAIeZyRUiHIVD947w22UvEKNWHj2R2gSDgUdA==" saltValue="9MYX37/Q8kJm/gSIexAEU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1" zoomScale="90" zoomScaleNormal="100" zoomScaleSheetLayoutView="90" workbookViewId="0">
      <pane ySplit="6" topLeftCell="A43" activePane="bottomLeft" state="frozen"/>
      <selection pane="bottomLeft" activeCell="V41" sqref="V4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2.7109375" style="67"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429" t="s">
        <v>323</v>
      </c>
      <c r="B1" s="430"/>
      <c r="C1" s="430"/>
      <c r="D1" s="430"/>
      <c r="E1" s="430"/>
      <c r="F1" s="430"/>
      <c r="G1" s="430"/>
      <c r="H1" s="430"/>
      <c r="I1" s="430"/>
      <c r="J1" s="430"/>
      <c r="K1" s="66"/>
    </row>
    <row r="2" spans="1:25" ht="15.75" x14ac:dyDescent="0.2">
      <c r="A2" s="3"/>
      <c r="B2" s="4"/>
      <c r="C2" s="431" t="s">
        <v>324</v>
      </c>
      <c r="D2" s="431"/>
      <c r="E2" s="5">
        <v>44562</v>
      </c>
      <c r="F2" s="6" t="s">
        <v>325</v>
      </c>
      <c r="G2" s="5">
        <v>44926</v>
      </c>
      <c r="H2" s="68"/>
      <c r="I2" s="68"/>
      <c r="J2" s="68"/>
      <c r="K2" s="69"/>
      <c r="X2" s="70" t="s">
        <v>326</v>
      </c>
    </row>
    <row r="3" spans="1:25" ht="13.5" customHeight="1" thickBot="1" x14ac:dyDescent="0.25">
      <c r="A3" s="432" t="s">
        <v>327</v>
      </c>
      <c r="B3" s="433"/>
      <c r="C3" s="433"/>
      <c r="D3" s="433"/>
      <c r="E3" s="433"/>
      <c r="F3" s="433"/>
      <c r="G3" s="436" t="s">
        <v>328</v>
      </c>
      <c r="H3" s="420" t="s">
        <v>329</v>
      </c>
      <c r="I3" s="420"/>
      <c r="J3" s="420"/>
      <c r="K3" s="420"/>
      <c r="L3" s="420"/>
      <c r="M3" s="420"/>
      <c r="N3" s="420"/>
      <c r="O3" s="420"/>
      <c r="P3" s="420"/>
      <c r="Q3" s="420"/>
      <c r="R3" s="420"/>
      <c r="S3" s="420"/>
      <c r="T3" s="420"/>
      <c r="U3" s="420"/>
      <c r="V3" s="420"/>
      <c r="W3" s="420"/>
      <c r="X3" s="420" t="s">
        <v>330</v>
      </c>
      <c r="Y3" s="422" t="s">
        <v>331</v>
      </c>
    </row>
    <row r="4" spans="1:25" ht="90.75" thickBot="1" x14ac:dyDescent="0.25">
      <c r="A4" s="434"/>
      <c r="B4" s="435"/>
      <c r="C4" s="435"/>
      <c r="D4" s="435"/>
      <c r="E4" s="435"/>
      <c r="F4" s="435"/>
      <c r="G4" s="437"/>
      <c r="H4" s="71" t="s">
        <v>332</v>
      </c>
      <c r="I4" s="71" t="s">
        <v>333</v>
      </c>
      <c r="J4" s="71" t="s">
        <v>334</v>
      </c>
      <c r="K4" s="71" t="s">
        <v>335</v>
      </c>
      <c r="L4" s="71" t="s">
        <v>336</v>
      </c>
      <c r="M4" s="71" t="s">
        <v>337</v>
      </c>
      <c r="N4" s="71" t="s">
        <v>338</v>
      </c>
      <c r="O4" s="71" t="s">
        <v>339</v>
      </c>
      <c r="P4" s="113" t="s">
        <v>434</v>
      </c>
      <c r="Q4" s="71" t="s">
        <v>340</v>
      </c>
      <c r="R4" s="71" t="s">
        <v>341</v>
      </c>
      <c r="S4" s="113" t="s">
        <v>436</v>
      </c>
      <c r="T4" s="113" t="s">
        <v>438</v>
      </c>
      <c r="U4" s="71" t="s">
        <v>342</v>
      </c>
      <c r="V4" s="71" t="s">
        <v>343</v>
      </c>
      <c r="W4" s="71" t="s">
        <v>344</v>
      </c>
      <c r="X4" s="421"/>
      <c r="Y4" s="423"/>
    </row>
    <row r="5" spans="1:25" ht="22.5" x14ac:dyDescent="0.2">
      <c r="A5" s="424">
        <v>1</v>
      </c>
      <c r="B5" s="425"/>
      <c r="C5" s="425"/>
      <c r="D5" s="425"/>
      <c r="E5" s="425"/>
      <c r="F5" s="425"/>
      <c r="G5" s="7">
        <v>2</v>
      </c>
      <c r="H5" s="72" t="s">
        <v>345</v>
      </c>
      <c r="I5" s="73" t="s">
        <v>346</v>
      </c>
      <c r="J5" s="72" t="s">
        <v>347</v>
      </c>
      <c r="K5" s="73" t="s">
        <v>348</v>
      </c>
      <c r="L5" s="72" t="s">
        <v>349</v>
      </c>
      <c r="M5" s="73" t="s">
        <v>350</v>
      </c>
      <c r="N5" s="72" t="s">
        <v>351</v>
      </c>
      <c r="O5" s="73" t="s">
        <v>352</v>
      </c>
      <c r="P5" s="72" t="s">
        <v>353</v>
      </c>
      <c r="Q5" s="73" t="s">
        <v>354</v>
      </c>
      <c r="R5" s="72" t="s">
        <v>355</v>
      </c>
      <c r="S5" s="72" t="s">
        <v>435</v>
      </c>
      <c r="T5" s="72" t="s">
        <v>437</v>
      </c>
      <c r="U5" s="72" t="s">
        <v>439</v>
      </c>
      <c r="V5" s="72" t="s">
        <v>440</v>
      </c>
      <c r="W5" s="72" t="s">
        <v>442</v>
      </c>
      <c r="X5" s="72">
        <v>19</v>
      </c>
      <c r="Y5" s="74" t="s">
        <v>441</v>
      </c>
    </row>
    <row r="6" spans="1:25" x14ac:dyDescent="0.2">
      <c r="A6" s="426" t="s">
        <v>356</v>
      </c>
      <c r="B6" s="426"/>
      <c r="C6" s="426"/>
      <c r="D6" s="426"/>
      <c r="E6" s="426"/>
      <c r="F6" s="426"/>
      <c r="G6" s="426"/>
      <c r="H6" s="426"/>
      <c r="I6" s="426"/>
      <c r="J6" s="426"/>
      <c r="K6" s="426"/>
      <c r="L6" s="426"/>
      <c r="M6" s="426"/>
      <c r="N6" s="427"/>
      <c r="O6" s="427"/>
      <c r="P6" s="427"/>
      <c r="Q6" s="427"/>
      <c r="R6" s="427"/>
      <c r="S6" s="427"/>
      <c r="T6" s="427"/>
      <c r="U6" s="427"/>
      <c r="V6" s="427"/>
      <c r="W6" s="427"/>
      <c r="X6" s="427"/>
      <c r="Y6" s="428"/>
    </row>
    <row r="7" spans="1:25" x14ac:dyDescent="0.2">
      <c r="A7" s="418" t="s">
        <v>357</v>
      </c>
      <c r="B7" s="418"/>
      <c r="C7" s="418"/>
      <c r="D7" s="418"/>
      <c r="E7" s="418"/>
      <c r="F7" s="418"/>
      <c r="G7" s="8">
        <v>1</v>
      </c>
      <c r="H7" s="75">
        <v>1672021210</v>
      </c>
      <c r="I7" s="75">
        <v>5710563</v>
      </c>
      <c r="J7" s="75">
        <v>83601061</v>
      </c>
      <c r="K7" s="75">
        <v>136815284</v>
      </c>
      <c r="L7" s="75">
        <v>124418266</v>
      </c>
      <c r="M7" s="75">
        <v>0</v>
      </c>
      <c r="N7" s="75">
        <v>2249472</v>
      </c>
      <c r="O7" s="75">
        <v>0</v>
      </c>
      <c r="P7" s="75">
        <v>872</v>
      </c>
      <c r="Q7" s="75">
        <v>0</v>
      </c>
      <c r="R7" s="75">
        <v>0</v>
      </c>
      <c r="S7" s="75">
        <v>0</v>
      </c>
      <c r="T7" s="75">
        <v>0</v>
      </c>
      <c r="U7" s="75">
        <v>917793503</v>
      </c>
      <c r="V7" s="75">
        <v>-308549679</v>
      </c>
      <c r="W7" s="76">
        <f>H7+I7+J7+K7-L7+M7+N7+O7+P7+Q7+R7+U7+V7+S7+T7</f>
        <v>2385224020</v>
      </c>
      <c r="X7" s="75">
        <v>0</v>
      </c>
      <c r="Y7" s="76">
        <f>W7+X7</f>
        <v>2385224020</v>
      </c>
    </row>
    <row r="8" spans="1:25" x14ac:dyDescent="0.2">
      <c r="A8" s="411" t="s">
        <v>358</v>
      </c>
      <c r="B8" s="411"/>
      <c r="C8" s="411"/>
      <c r="D8" s="411"/>
      <c r="E8" s="411"/>
      <c r="F8" s="411"/>
      <c r="G8" s="8">
        <v>2</v>
      </c>
      <c r="H8" s="75">
        <v>0</v>
      </c>
      <c r="I8" s="75">
        <v>0</v>
      </c>
      <c r="J8" s="75">
        <v>0</v>
      </c>
      <c r="K8" s="75">
        <v>0</v>
      </c>
      <c r="L8" s="75">
        <v>0</v>
      </c>
      <c r="M8" s="75">
        <v>0</v>
      </c>
      <c r="N8" s="75">
        <v>0</v>
      </c>
      <c r="O8" s="75">
        <v>0</v>
      </c>
      <c r="P8" s="75">
        <v>0</v>
      </c>
      <c r="Q8" s="75">
        <v>0</v>
      </c>
      <c r="R8" s="75">
        <v>0</v>
      </c>
      <c r="S8" s="75">
        <v>0</v>
      </c>
      <c r="T8" s="75">
        <v>0</v>
      </c>
      <c r="U8" s="75">
        <v>0</v>
      </c>
      <c r="V8" s="75">
        <v>0</v>
      </c>
      <c r="W8" s="76">
        <f t="shared" ref="W8:W9" si="0">H8+I8+J8+K8-L8+M8+N8+O8+P8+Q8+R8+U8+V8+S8+T8</f>
        <v>0</v>
      </c>
      <c r="X8" s="75">
        <v>0</v>
      </c>
      <c r="Y8" s="76">
        <f t="shared" ref="Y8:Y9" si="1">W8+X8</f>
        <v>0</v>
      </c>
    </row>
    <row r="9" spans="1:25" x14ac:dyDescent="0.2">
      <c r="A9" s="411" t="s">
        <v>359</v>
      </c>
      <c r="B9" s="411"/>
      <c r="C9" s="411"/>
      <c r="D9" s="411"/>
      <c r="E9" s="411"/>
      <c r="F9" s="411"/>
      <c r="G9" s="8">
        <v>3</v>
      </c>
      <c r="H9" s="75">
        <v>0</v>
      </c>
      <c r="I9" s="75">
        <v>0</v>
      </c>
      <c r="J9" s="75">
        <v>0</v>
      </c>
      <c r="K9" s="75">
        <v>0</v>
      </c>
      <c r="L9" s="75">
        <v>0</v>
      </c>
      <c r="M9" s="75">
        <v>0</v>
      </c>
      <c r="N9" s="75">
        <v>0</v>
      </c>
      <c r="O9" s="75">
        <v>0</v>
      </c>
      <c r="P9" s="75">
        <v>0</v>
      </c>
      <c r="Q9" s="75">
        <v>0</v>
      </c>
      <c r="R9" s="75">
        <v>0</v>
      </c>
      <c r="S9" s="75">
        <v>0</v>
      </c>
      <c r="T9" s="75">
        <v>0</v>
      </c>
      <c r="U9" s="75">
        <v>0</v>
      </c>
      <c r="V9" s="75">
        <v>0</v>
      </c>
      <c r="W9" s="76">
        <f t="shared" si="0"/>
        <v>0</v>
      </c>
      <c r="X9" s="75">
        <v>0</v>
      </c>
      <c r="Y9" s="76">
        <f t="shared" si="1"/>
        <v>0</v>
      </c>
    </row>
    <row r="10" spans="1:25" ht="22.5" customHeight="1" x14ac:dyDescent="0.2">
      <c r="A10" s="419" t="s">
        <v>360</v>
      </c>
      <c r="B10" s="419"/>
      <c r="C10" s="419"/>
      <c r="D10" s="419"/>
      <c r="E10" s="419"/>
      <c r="F10" s="419"/>
      <c r="G10" s="9">
        <v>4</v>
      </c>
      <c r="H10" s="77">
        <f>H7+H8+H9</f>
        <v>1672021210</v>
      </c>
      <c r="I10" s="77">
        <f t="shared" ref="I10:Y10" si="2">I7+I8+I9</f>
        <v>5710563</v>
      </c>
      <c r="J10" s="77">
        <f t="shared" si="2"/>
        <v>83601061</v>
      </c>
      <c r="K10" s="77">
        <f t="shared" si="2"/>
        <v>136815284</v>
      </c>
      <c r="L10" s="77">
        <f t="shared" si="2"/>
        <v>124418266</v>
      </c>
      <c r="M10" s="77">
        <f t="shared" si="2"/>
        <v>0</v>
      </c>
      <c r="N10" s="77">
        <f t="shared" si="2"/>
        <v>2249472</v>
      </c>
      <c r="O10" s="77">
        <f t="shared" si="2"/>
        <v>0</v>
      </c>
      <c r="P10" s="77">
        <f t="shared" si="2"/>
        <v>872</v>
      </c>
      <c r="Q10" s="77">
        <f t="shared" si="2"/>
        <v>0</v>
      </c>
      <c r="R10" s="77">
        <f t="shared" si="2"/>
        <v>0</v>
      </c>
      <c r="S10" s="77">
        <f t="shared" si="2"/>
        <v>0</v>
      </c>
      <c r="T10" s="77">
        <f t="shared" si="2"/>
        <v>0</v>
      </c>
      <c r="U10" s="77">
        <f t="shared" si="2"/>
        <v>917793503</v>
      </c>
      <c r="V10" s="77">
        <f t="shared" si="2"/>
        <v>-308549679</v>
      </c>
      <c r="W10" s="77">
        <f t="shared" si="2"/>
        <v>2385224020</v>
      </c>
      <c r="X10" s="77">
        <f t="shared" si="2"/>
        <v>0</v>
      </c>
      <c r="Y10" s="77">
        <f t="shared" si="2"/>
        <v>2385224020</v>
      </c>
    </row>
    <row r="11" spans="1:25" x14ac:dyDescent="0.2">
      <c r="A11" s="411" t="s">
        <v>361</v>
      </c>
      <c r="B11" s="411"/>
      <c r="C11" s="411"/>
      <c r="D11" s="411"/>
      <c r="E11" s="411"/>
      <c r="F11" s="411"/>
      <c r="G11" s="8">
        <v>5</v>
      </c>
      <c r="H11" s="79">
        <v>0</v>
      </c>
      <c r="I11" s="79">
        <v>0</v>
      </c>
      <c r="J11" s="79">
        <v>0</v>
      </c>
      <c r="K11" s="79">
        <v>0</v>
      </c>
      <c r="L11" s="79">
        <v>0</v>
      </c>
      <c r="M11" s="79">
        <v>0</v>
      </c>
      <c r="N11" s="79">
        <v>0</v>
      </c>
      <c r="O11" s="79">
        <v>0</v>
      </c>
      <c r="P11" s="79">
        <v>0</v>
      </c>
      <c r="Q11" s="79">
        <v>0</v>
      </c>
      <c r="R11" s="79">
        <v>0</v>
      </c>
      <c r="S11" s="79"/>
      <c r="T11" s="79"/>
      <c r="U11" s="79">
        <v>0</v>
      </c>
      <c r="V11" s="75">
        <v>304605806</v>
      </c>
      <c r="W11" s="76">
        <f t="shared" ref="W11:W29" si="3">H11+I11+J11+K11-L11+M11+N11+O11+P11+Q11+R11+U11+V11+S11+T11</f>
        <v>304605806</v>
      </c>
      <c r="X11" s="75">
        <v>0</v>
      </c>
      <c r="Y11" s="76">
        <f t="shared" ref="Y11:Y29" si="4">W11+X11</f>
        <v>304605806</v>
      </c>
    </row>
    <row r="12" spans="1:25" x14ac:dyDescent="0.2">
      <c r="A12" s="411" t="s">
        <v>362</v>
      </c>
      <c r="B12" s="411"/>
      <c r="C12" s="411"/>
      <c r="D12" s="411"/>
      <c r="E12" s="411"/>
      <c r="F12" s="411"/>
      <c r="G12" s="8">
        <v>6</v>
      </c>
      <c r="H12" s="79">
        <v>0</v>
      </c>
      <c r="I12" s="79">
        <v>0</v>
      </c>
      <c r="J12" s="79">
        <v>0</v>
      </c>
      <c r="K12" s="79">
        <v>0</v>
      </c>
      <c r="L12" s="79">
        <v>0</v>
      </c>
      <c r="M12" s="79">
        <v>0</v>
      </c>
      <c r="N12" s="75">
        <v>0</v>
      </c>
      <c r="O12" s="79">
        <v>0</v>
      </c>
      <c r="P12" s="79">
        <v>0</v>
      </c>
      <c r="Q12" s="79">
        <v>0</v>
      </c>
      <c r="R12" s="79">
        <v>0</v>
      </c>
      <c r="S12" s="79"/>
      <c r="T12" s="79"/>
      <c r="U12" s="79">
        <v>0</v>
      </c>
      <c r="V12" s="79">
        <v>0</v>
      </c>
      <c r="W12" s="76">
        <f t="shared" si="3"/>
        <v>0</v>
      </c>
      <c r="X12" s="75">
        <v>0</v>
      </c>
      <c r="Y12" s="76">
        <f t="shared" si="4"/>
        <v>0</v>
      </c>
    </row>
    <row r="13" spans="1:25" ht="26.25" customHeight="1" x14ac:dyDescent="0.2">
      <c r="A13" s="411" t="s">
        <v>363</v>
      </c>
      <c r="B13" s="411"/>
      <c r="C13" s="411"/>
      <c r="D13" s="411"/>
      <c r="E13" s="411"/>
      <c r="F13" s="411"/>
      <c r="G13" s="8">
        <v>7</v>
      </c>
      <c r="H13" s="79">
        <v>0</v>
      </c>
      <c r="I13" s="79">
        <v>0</v>
      </c>
      <c r="J13" s="79">
        <v>0</v>
      </c>
      <c r="K13" s="79">
        <v>0</v>
      </c>
      <c r="L13" s="79">
        <v>0</v>
      </c>
      <c r="M13" s="79">
        <v>0</v>
      </c>
      <c r="N13" s="79">
        <v>0</v>
      </c>
      <c r="O13" s="75">
        <v>0</v>
      </c>
      <c r="P13" s="79">
        <v>0</v>
      </c>
      <c r="Q13" s="79">
        <v>0</v>
      </c>
      <c r="R13" s="79">
        <v>0</v>
      </c>
      <c r="S13" s="79"/>
      <c r="T13" s="79"/>
      <c r="U13" s="75">
        <v>0</v>
      </c>
      <c r="V13" s="75">
        <v>0</v>
      </c>
      <c r="W13" s="76">
        <f t="shared" si="3"/>
        <v>0</v>
      </c>
      <c r="X13" s="75">
        <v>0</v>
      </c>
      <c r="Y13" s="76">
        <f t="shared" si="4"/>
        <v>0</v>
      </c>
    </row>
    <row r="14" spans="1:25" ht="29.25" customHeight="1" x14ac:dyDescent="0.2">
      <c r="A14" s="411" t="s">
        <v>443</v>
      </c>
      <c r="B14" s="411"/>
      <c r="C14" s="411"/>
      <c r="D14" s="411"/>
      <c r="E14" s="411"/>
      <c r="F14" s="411"/>
      <c r="G14" s="8">
        <v>8</v>
      </c>
      <c r="H14" s="79">
        <v>0</v>
      </c>
      <c r="I14" s="79">
        <v>0</v>
      </c>
      <c r="J14" s="79">
        <v>0</v>
      </c>
      <c r="K14" s="79">
        <v>0</v>
      </c>
      <c r="L14" s="79">
        <v>0</v>
      </c>
      <c r="M14" s="79">
        <v>0</v>
      </c>
      <c r="N14" s="79">
        <v>0</v>
      </c>
      <c r="O14" s="79">
        <v>0</v>
      </c>
      <c r="P14" s="75">
        <v>97850</v>
      </c>
      <c r="Q14" s="79">
        <v>0</v>
      </c>
      <c r="R14" s="79">
        <v>0</v>
      </c>
      <c r="S14" s="79"/>
      <c r="T14" s="79"/>
      <c r="U14" s="75">
        <v>0</v>
      </c>
      <c r="V14" s="75">
        <v>0</v>
      </c>
      <c r="W14" s="76">
        <f t="shared" si="3"/>
        <v>97850</v>
      </c>
      <c r="X14" s="75">
        <v>0</v>
      </c>
      <c r="Y14" s="76">
        <f t="shared" si="4"/>
        <v>97850</v>
      </c>
    </row>
    <row r="15" spans="1:25" x14ac:dyDescent="0.2">
      <c r="A15" s="411" t="s">
        <v>364</v>
      </c>
      <c r="B15" s="411"/>
      <c r="C15" s="411"/>
      <c r="D15" s="411"/>
      <c r="E15" s="411"/>
      <c r="F15" s="411"/>
      <c r="G15" s="8">
        <v>9</v>
      </c>
      <c r="H15" s="79">
        <v>0</v>
      </c>
      <c r="I15" s="79">
        <v>0</v>
      </c>
      <c r="J15" s="79">
        <v>0</v>
      </c>
      <c r="K15" s="79">
        <v>0</v>
      </c>
      <c r="L15" s="79">
        <v>0</v>
      </c>
      <c r="M15" s="79">
        <v>0</v>
      </c>
      <c r="N15" s="79">
        <v>0</v>
      </c>
      <c r="O15" s="79">
        <v>0</v>
      </c>
      <c r="P15" s="79">
        <v>0</v>
      </c>
      <c r="Q15" s="75"/>
      <c r="R15" s="79">
        <v>0</v>
      </c>
      <c r="S15" s="79"/>
      <c r="T15" s="79"/>
      <c r="U15" s="75">
        <v>0</v>
      </c>
      <c r="V15" s="75">
        <v>0</v>
      </c>
      <c r="W15" s="76">
        <f t="shared" si="3"/>
        <v>0</v>
      </c>
      <c r="X15" s="75">
        <v>0</v>
      </c>
      <c r="Y15" s="76">
        <f t="shared" si="4"/>
        <v>0</v>
      </c>
    </row>
    <row r="16" spans="1:25" ht="28.5" customHeight="1" x14ac:dyDescent="0.2">
      <c r="A16" s="411" t="s">
        <v>365</v>
      </c>
      <c r="B16" s="411"/>
      <c r="C16" s="411"/>
      <c r="D16" s="411"/>
      <c r="E16" s="411"/>
      <c r="F16" s="411"/>
      <c r="G16" s="8">
        <v>10</v>
      </c>
      <c r="H16" s="79">
        <v>0</v>
      </c>
      <c r="I16" s="79">
        <v>0</v>
      </c>
      <c r="J16" s="79">
        <v>0</v>
      </c>
      <c r="K16" s="79">
        <v>0</v>
      </c>
      <c r="L16" s="79">
        <v>0</v>
      </c>
      <c r="M16" s="79">
        <v>0</v>
      </c>
      <c r="N16" s="79">
        <v>0</v>
      </c>
      <c r="O16" s="79">
        <v>0</v>
      </c>
      <c r="P16" s="79">
        <v>0</v>
      </c>
      <c r="Q16" s="79">
        <v>0</v>
      </c>
      <c r="R16" s="75">
        <v>0</v>
      </c>
      <c r="S16" s="75">
        <v>0</v>
      </c>
      <c r="T16" s="75">
        <v>0</v>
      </c>
      <c r="U16" s="75">
        <v>0</v>
      </c>
      <c r="V16" s="75">
        <v>0</v>
      </c>
      <c r="W16" s="76">
        <f t="shared" si="3"/>
        <v>0</v>
      </c>
      <c r="X16" s="75">
        <v>0</v>
      </c>
      <c r="Y16" s="76">
        <f t="shared" si="4"/>
        <v>0</v>
      </c>
    </row>
    <row r="17" spans="1:25" ht="23.25" customHeight="1" x14ac:dyDescent="0.2">
      <c r="A17" s="411" t="s">
        <v>366</v>
      </c>
      <c r="B17" s="411"/>
      <c r="C17" s="411"/>
      <c r="D17" s="411"/>
      <c r="E17" s="411"/>
      <c r="F17" s="411"/>
      <c r="G17" s="8">
        <v>11</v>
      </c>
      <c r="H17" s="79">
        <v>0</v>
      </c>
      <c r="I17" s="79">
        <v>0</v>
      </c>
      <c r="J17" s="79">
        <v>0</v>
      </c>
      <c r="K17" s="79">
        <v>0</v>
      </c>
      <c r="L17" s="79">
        <v>0</v>
      </c>
      <c r="M17" s="79">
        <v>0</v>
      </c>
      <c r="N17" s="75">
        <v>0</v>
      </c>
      <c r="O17" s="75">
        <v>0</v>
      </c>
      <c r="P17" s="75">
        <v>0</v>
      </c>
      <c r="Q17" s="75">
        <v>0</v>
      </c>
      <c r="R17" s="75">
        <v>0</v>
      </c>
      <c r="S17" s="75">
        <v>0</v>
      </c>
      <c r="T17" s="75">
        <v>0</v>
      </c>
      <c r="U17" s="75">
        <v>0</v>
      </c>
      <c r="V17" s="75">
        <v>0</v>
      </c>
      <c r="W17" s="76">
        <f t="shared" si="3"/>
        <v>0</v>
      </c>
      <c r="X17" s="75">
        <v>0</v>
      </c>
      <c r="Y17" s="76">
        <f t="shared" si="4"/>
        <v>0</v>
      </c>
    </row>
    <row r="18" spans="1:25" x14ac:dyDescent="0.2">
      <c r="A18" s="411" t="s">
        <v>367</v>
      </c>
      <c r="B18" s="411"/>
      <c r="C18" s="411"/>
      <c r="D18" s="411"/>
      <c r="E18" s="411"/>
      <c r="F18" s="411"/>
      <c r="G18" s="8">
        <v>12</v>
      </c>
      <c r="H18" s="79">
        <v>0</v>
      </c>
      <c r="I18" s="79">
        <v>0</v>
      </c>
      <c r="J18" s="79">
        <v>0</v>
      </c>
      <c r="K18" s="79">
        <v>0</v>
      </c>
      <c r="L18" s="79">
        <v>0</v>
      </c>
      <c r="M18" s="79">
        <v>0</v>
      </c>
      <c r="N18" s="75">
        <v>0</v>
      </c>
      <c r="O18" s="75">
        <v>0</v>
      </c>
      <c r="P18" s="75">
        <v>0</v>
      </c>
      <c r="Q18" s="75">
        <v>0</v>
      </c>
      <c r="R18" s="75">
        <v>0</v>
      </c>
      <c r="S18" s="75">
        <v>0</v>
      </c>
      <c r="T18" s="75">
        <v>0</v>
      </c>
      <c r="U18" s="75">
        <v>0</v>
      </c>
      <c r="V18" s="75">
        <v>0</v>
      </c>
      <c r="W18" s="76">
        <f t="shared" si="3"/>
        <v>0</v>
      </c>
      <c r="X18" s="75">
        <v>0</v>
      </c>
      <c r="Y18" s="76">
        <f t="shared" si="4"/>
        <v>0</v>
      </c>
    </row>
    <row r="19" spans="1:25" x14ac:dyDescent="0.2">
      <c r="A19" s="411" t="s">
        <v>368</v>
      </c>
      <c r="B19" s="411"/>
      <c r="C19" s="411"/>
      <c r="D19" s="411"/>
      <c r="E19" s="411"/>
      <c r="F19" s="411"/>
      <c r="G19" s="8">
        <v>13</v>
      </c>
      <c r="H19" s="75">
        <v>0</v>
      </c>
      <c r="I19" s="75">
        <v>0</v>
      </c>
      <c r="J19" s="75">
        <v>0</v>
      </c>
      <c r="K19" s="75">
        <v>0</v>
      </c>
      <c r="L19" s="75">
        <v>0</v>
      </c>
      <c r="M19" s="75">
        <v>0</v>
      </c>
      <c r="N19" s="75">
        <v>0</v>
      </c>
      <c r="O19" s="75">
        <v>0</v>
      </c>
      <c r="P19" s="75">
        <v>0</v>
      </c>
      <c r="Q19" s="75">
        <v>0</v>
      </c>
      <c r="R19" s="75">
        <v>0</v>
      </c>
      <c r="S19" s="75">
        <v>0</v>
      </c>
      <c r="T19" s="75">
        <v>0</v>
      </c>
      <c r="U19" s="75">
        <v>0</v>
      </c>
      <c r="V19" s="75">
        <v>0</v>
      </c>
      <c r="W19" s="76">
        <f t="shared" si="3"/>
        <v>0</v>
      </c>
      <c r="X19" s="75">
        <v>0</v>
      </c>
      <c r="Y19" s="76">
        <f t="shared" si="4"/>
        <v>0</v>
      </c>
    </row>
    <row r="20" spans="1:25" x14ac:dyDescent="0.2">
      <c r="A20" s="411" t="s">
        <v>369</v>
      </c>
      <c r="B20" s="411"/>
      <c r="C20" s="411"/>
      <c r="D20" s="411"/>
      <c r="E20" s="411"/>
      <c r="F20" s="411"/>
      <c r="G20" s="8">
        <v>14</v>
      </c>
      <c r="H20" s="79">
        <v>0</v>
      </c>
      <c r="I20" s="79">
        <v>0</v>
      </c>
      <c r="J20" s="79">
        <v>0</v>
      </c>
      <c r="K20" s="79">
        <v>0</v>
      </c>
      <c r="L20" s="79">
        <v>0</v>
      </c>
      <c r="M20" s="79">
        <v>0</v>
      </c>
      <c r="N20" s="75">
        <v>0</v>
      </c>
      <c r="O20" s="75">
        <v>0</v>
      </c>
      <c r="P20" s="75">
        <v>-17613</v>
      </c>
      <c r="Q20" s="75">
        <v>0</v>
      </c>
      <c r="R20" s="75">
        <v>0</v>
      </c>
      <c r="S20" s="75">
        <v>0</v>
      </c>
      <c r="T20" s="75">
        <v>0</v>
      </c>
      <c r="U20" s="75">
        <v>0</v>
      </c>
      <c r="V20" s="75">
        <v>0</v>
      </c>
      <c r="W20" s="76">
        <f t="shared" si="3"/>
        <v>-17613</v>
      </c>
      <c r="X20" s="75">
        <v>0</v>
      </c>
      <c r="Y20" s="76">
        <f t="shared" si="4"/>
        <v>-17613</v>
      </c>
    </row>
    <row r="21" spans="1:25" ht="30.75" customHeight="1" x14ac:dyDescent="0.2">
      <c r="A21" s="411" t="s">
        <v>370</v>
      </c>
      <c r="B21" s="411"/>
      <c r="C21" s="411"/>
      <c r="D21" s="411"/>
      <c r="E21" s="411"/>
      <c r="F21" s="411"/>
      <c r="G21" s="8">
        <v>15</v>
      </c>
      <c r="H21" s="75">
        <v>0</v>
      </c>
      <c r="I21" s="75">
        <v>0</v>
      </c>
      <c r="J21" s="75">
        <v>0</v>
      </c>
      <c r="K21" s="75">
        <v>0</v>
      </c>
      <c r="L21" s="75">
        <v>0</v>
      </c>
      <c r="M21" s="75">
        <v>0</v>
      </c>
      <c r="N21" s="75">
        <v>0</v>
      </c>
      <c r="O21" s="75">
        <v>0</v>
      </c>
      <c r="P21" s="75">
        <v>0</v>
      </c>
      <c r="Q21" s="75">
        <v>0</v>
      </c>
      <c r="R21" s="75">
        <v>0</v>
      </c>
      <c r="S21" s="75">
        <v>0</v>
      </c>
      <c r="T21" s="75">
        <v>0</v>
      </c>
      <c r="U21" s="75">
        <v>0</v>
      </c>
      <c r="V21" s="75">
        <v>0</v>
      </c>
      <c r="W21" s="76">
        <f t="shared" si="3"/>
        <v>0</v>
      </c>
      <c r="X21" s="75">
        <v>0</v>
      </c>
      <c r="Y21" s="76">
        <f t="shared" si="4"/>
        <v>0</v>
      </c>
    </row>
    <row r="22" spans="1:25" ht="28.5" customHeight="1" x14ac:dyDescent="0.2">
      <c r="A22" s="411" t="s">
        <v>444</v>
      </c>
      <c r="B22" s="411"/>
      <c r="C22" s="411"/>
      <c r="D22" s="411"/>
      <c r="E22" s="411"/>
      <c r="F22" s="411"/>
      <c r="G22" s="8">
        <v>16</v>
      </c>
      <c r="H22" s="75">
        <v>0</v>
      </c>
      <c r="I22" s="75">
        <v>0</v>
      </c>
      <c r="J22" s="75">
        <v>0</v>
      </c>
      <c r="K22" s="75">
        <v>0</v>
      </c>
      <c r="L22" s="75">
        <v>0</v>
      </c>
      <c r="M22" s="75">
        <v>0</v>
      </c>
      <c r="N22" s="75">
        <v>0</v>
      </c>
      <c r="O22" s="75">
        <v>0</v>
      </c>
      <c r="P22" s="75">
        <v>0</v>
      </c>
      <c r="Q22" s="75">
        <v>0</v>
      </c>
      <c r="R22" s="75">
        <v>0</v>
      </c>
      <c r="S22" s="75">
        <v>0</v>
      </c>
      <c r="T22" s="75">
        <v>0</v>
      </c>
      <c r="U22" s="75">
        <v>0</v>
      </c>
      <c r="V22" s="75">
        <v>0</v>
      </c>
      <c r="W22" s="76">
        <f t="shared" si="3"/>
        <v>0</v>
      </c>
      <c r="X22" s="75">
        <v>0</v>
      </c>
      <c r="Y22" s="76">
        <f t="shared" si="4"/>
        <v>0</v>
      </c>
    </row>
    <row r="23" spans="1:25" ht="26.25" customHeight="1" x14ac:dyDescent="0.2">
      <c r="A23" s="411" t="s">
        <v>445</v>
      </c>
      <c r="B23" s="411"/>
      <c r="C23" s="411"/>
      <c r="D23" s="411"/>
      <c r="E23" s="411"/>
      <c r="F23" s="411"/>
      <c r="G23" s="8">
        <v>17</v>
      </c>
      <c r="H23" s="75">
        <v>0</v>
      </c>
      <c r="I23" s="75">
        <v>0</v>
      </c>
      <c r="J23" s="75">
        <v>0</v>
      </c>
      <c r="K23" s="75">
        <v>0</v>
      </c>
      <c r="L23" s="75">
        <v>0</v>
      </c>
      <c r="M23" s="75">
        <v>0</v>
      </c>
      <c r="N23" s="75">
        <v>0</v>
      </c>
      <c r="O23" s="75">
        <v>0</v>
      </c>
      <c r="P23" s="75">
        <v>0</v>
      </c>
      <c r="Q23" s="75">
        <v>0</v>
      </c>
      <c r="R23" s="75">
        <v>0</v>
      </c>
      <c r="S23" s="75">
        <v>0</v>
      </c>
      <c r="T23" s="75">
        <v>0</v>
      </c>
      <c r="U23" s="75">
        <v>0</v>
      </c>
      <c r="V23" s="75">
        <v>0</v>
      </c>
      <c r="W23" s="76">
        <f t="shared" si="3"/>
        <v>0</v>
      </c>
      <c r="X23" s="75">
        <v>0</v>
      </c>
      <c r="Y23" s="76">
        <f t="shared" si="4"/>
        <v>0</v>
      </c>
    </row>
    <row r="24" spans="1:25" x14ac:dyDescent="0.2">
      <c r="A24" s="411" t="s">
        <v>371</v>
      </c>
      <c r="B24" s="411"/>
      <c r="C24" s="411"/>
      <c r="D24" s="411"/>
      <c r="E24" s="411"/>
      <c r="F24" s="411"/>
      <c r="G24" s="8">
        <v>18</v>
      </c>
      <c r="H24" s="75">
        <v>0</v>
      </c>
      <c r="I24" s="75">
        <v>0</v>
      </c>
      <c r="J24" s="75">
        <v>0</v>
      </c>
      <c r="K24" s="75">
        <v>0</v>
      </c>
      <c r="L24" s="75">
        <v>0</v>
      </c>
      <c r="M24" s="75">
        <v>0</v>
      </c>
      <c r="N24" s="75">
        <v>0</v>
      </c>
      <c r="O24" s="75">
        <v>0</v>
      </c>
      <c r="P24" s="75">
        <v>0</v>
      </c>
      <c r="Q24" s="75">
        <v>0</v>
      </c>
      <c r="R24" s="75">
        <v>0</v>
      </c>
      <c r="S24" s="75">
        <v>0</v>
      </c>
      <c r="T24" s="75">
        <v>0</v>
      </c>
      <c r="U24" s="75">
        <v>0</v>
      </c>
      <c r="V24" s="75">
        <v>0</v>
      </c>
      <c r="W24" s="76">
        <f t="shared" si="3"/>
        <v>0</v>
      </c>
      <c r="X24" s="75">
        <v>0</v>
      </c>
      <c r="Y24" s="76">
        <f t="shared" si="4"/>
        <v>0</v>
      </c>
    </row>
    <row r="25" spans="1:25" x14ac:dyDescent="0.2">
      <c r="A25" s="411" t="s">
        <v>446</v>
      </c>
      <c r="B25" s="411"/>
      <c r="C25" s="411"/>
      <c r="D25" s="411"/>
      <c r="E25" s="411"/>
      <c r="F25" s="411"/>
      <c r="G25" s="8">
        <v>19</v>
      </c>
      <c r="H25" s="75">
        <v>0</v>
      </c>
      <c r="I25" s="75">
        <v>0</v>
      </c>
      <c r="J25" s="75">
        <v>0</v>
      </c>
      <c r="K25" s="75">
        <v>0</v>
      </c>
      <c r="L25" s="75">
        <v>0</v>
      </c>
      <c r="M25" s="75">
        <v>0</v>
      </c>
      <c r="N25" s="75">
        <v>0</v>
      </c>
      <c r="O25" s="75">
        <v>0</v>
      </c>
      <c r="P25" s="75">
        <v>0</v>
      </c>
      <c r="Q25" s="75">
        <v>0</v>
      </c>
      <c r="R25" s="75">
        <v>0</v>
      </c>
      <c r="S25" s="75">
        <v>0</v>
      </c>
      <c r="T25" s="75">
        <v>0</v>
      </c>
      <c r="U25" s="75">
        <v>0</v>
      </c>
      <c r="V25" s="75">
        <v>0</v>
      </c>
      <c r="W25" s="76">
        <f t="shared" si="3"/>
        <v>0</v>
      </c>
      <c r="X25" s="75">
        <v>0</v>
      </c>
      <c r="Y25" s="76">
        <f t="shared" si="4"/>
        <v>0</v>
      </c>
    </row>
    <row r="26" spans="1:25" x14ac:dyDescent="0.2">
      <c r="A26" s="411" t="s">
        <v>447</v>
      </c>
      <c r="B26" s="411"/>
      <c r="C26" s="411"/>
      <c r="D26" s="411"/>
      <c r="E26" s="411"/>
      <c r="F26" s="411"/>
      <c r="G26" s="8">
        <v>20</v>
      </c>
      <c r="H26" s="75">
        <v>0</v>
      </c>
      <c r="I26" s="75">
        <v>0</v>
      </c>
      <c r="J26" s="75">
        <v>0</v>
      </c>
      <c r="K26" s="75">
        <v>0</v>
      </c>
      <c r="L26" s="75">
        <v>0</v>
      </c>
      <c r="M26" s="75">
        <v>0</v>
      </c>
      <c r="N26" s="75">
        <v>0</v>
      </c>
      <c r="O26" s="75">
        <v>0</v>
      </c>
      <c r="P26" s="75">
        <v>0</v>
      </c>
      <c r="Q26" s="75">
        <v>0</v>
      </c>
      <c r="R26" s="75">
        <v>0</v>
      </c>
      <c r="S26" s="75">
        <v>0</v>
      </c>
      <c r="T26" s="75">
        <v>0</v>
      </c>
      <c r="U26" s="75">
        <v>0</v>
      </c>
      <c r="V26" s="75">
        <v>0</v>
      </c>
      <c r="W26" s="76">
        <f t="shared" si="3"/>
        <v>0</v>
      </c>
      <c r="X26" s="75">
        <v>0</v>
      </c>
      <c r="Y26" s="76">
        <f t="shared" si="4"/>
        <v>0</v>
      </c>
    </row>
    <row r="27" spans="1:25" x14ac:dyDescent="0.2">
      <c r="A27" s="411" t="s">
        <v>448</v>
      </c>
      <c r="B27" s="411"/>
      <c r="C27" s="411"/>
      <c r="D27" s="411"/>
      <c r="E27" s="411"/>
      <c r="F27" s="411"/>
      <c r="G27" s="8">
        <v>21</v>
      </c>
      <c r="H27" s="75">
        <v>0</v>
      </c>
      <c r="I27" s="75">
        <v>0</v>
      </c>
      <c r="J27" s="75">
        <v>0</v>
      </c>
      <c r="K27" s="75">
        <v>0</v>
      </c>
      <c r="L27" s="75">
        <v>0</v>
      </c>
      <c r="M27" s="75">
        <v>0</v>
      </c>
      <c r="N27" s="75">
        <v>0</v>
      </c>
      <c r="O27" s="75">
        <v>0</v>
      </c>
      <c r="P27" s="75">
        <v>0</v>
      </c>
      <c r="Q27" s="75">
        <v>0</v>
      </c>
      <c r="R27" s="75">
        <v>0</v>
      </c>
      <c r="S27" s="75">
        <v>0</v>
      </c>
      <c r="T27" s="75">
        <v>0</v>
      </c>
      <c r="U27" s="75">
        <v>1756034</v>
      </c>
      <c r="V27" s="75">
        <v>0</v>
      </c>
      <c r="W27" s="76">
        <f t="shared" si="3"/>
        <v>1756034</v>
      </c>
      <c r="X27" s="75">
        <v>0</v>
      </c>
      <c r="Y27" s="76">
        <f t="shared" si="4"/>
        <v>1756034</v>
      </c>
    </row>
    <row r="28" spans="1:25" ht="30" customHeight="1" x14ac:dyDescent="0.2">
      <c r="A28" s="411" t="s">
        <v>449</v>
      </c>
      <c r="B28" s="411"/>
      <c r="C28" s="411"/>
      <c r="D28" s="411"/>
      <c r="E28" s="411"/>
      <c r="F28" s="411"/>
      <c r="G28" s="8">
        <v>22</v>
      </c>
      <c r="H28" s="75">
        <v>0</v>
      </c>
      <c r="I28" s="75">
        <v>0</v>
      </c>
      <c r="J28" s="75">
        <v>0</v>
      </c>
      <c r="K28" s="75">
        <v>0</v>
      </c>
      <c r="L28" s="75">
        <v>0</v>
      </c>
      <c r="M28" s="75">
        <v>0</v>
      </c>
      <c r="N28" s="75">
        <v>0</v>
      </c>
      <c r="O28" s="75">
        <v>0</v>
      </c>
      <c r="P28" s="75">
        <v>0</v>
      </c>
      <c r="Q28" s="75">
        <v>0</v>
      </c>
      <c r="R28" s="75">
        <v>0</v>
      </c>
      <c r="S28" s="75">
        <v>0</v>
      </c>
      <c r="T28" s="75">
        <v>0</v>
      </c>
      <c r="U28" s="75">
        <v>-380935370</v>
      </c>
      <c r="V28" s="75">
        <v>308549679</v>
      </c>
      <c r="W28" s="76">
        <f t="shared" si="3"/>
        <v>-72385691</v>
      </c>
      <c r="X28" s="75">
        <v>0</v>
      </c>
      <c r="Y28" s="76">
        <f t="shared" si="4"/>
        <v>-72385691</v>
      </c>
    </row>
    <row r="29" spans="1:25" ht="30" customHeight="1" x14ac:dyDescent="0.2">
      <c r="A29" s="411" t="s">
        <v>450</v>
      </c>
      <c r="B29" s="411"/>
      <c r="C29" s="411"/>
      <c r="D29" s="411"/>
      <c r="E29" s="411"/>
      <c r="F29" s="411"/>
      <c r="G29" s="8">
        <v>23</v>
      </c>
      <c r="H29" s="75">
        <v>0</v>
      </c>
      <c r="I29" s="75">
        <v>0</v>
      </c>
      <c r="J29" s="75">
        <v>0</v>
      </c>
      <c r="K29" s="75">
        <v>0</v>
      </c>
      <c r="L29" s="75">
        <v>0</v>
      </c>
      <c r="M29" s="75">
        <v>0</v>
      </c>
      <c r="N29" s="75">
        <v>0</v>
      </c>
      <c r="O29" s="75">
        <v>0</v>
      </c>
      <c r="P29" s="75">
        <v>0</v>
      </c>
      <c r="Q29" s="75">
        <v>0</v>
      </c>
      <c r="R29" s="75">
        <v>0</v>
      </c>
      <c r="S29" s="75">
        <v>0</v>
      </c>
      <c r="T29" s="75">
        <v>0</v>
      </c>
      <c r="U29" s="75">
        <v>0</v>
      </c>
      <c r="V29" s="75">
        <v>0</v>
      </c>
      <c r="W29" s="76">
        <f t="shared" si="3"/>
        <v>0</v>
      </c>
      <c r="X29" s="75">
        <v>0</v>
      </c>
      <c r="Y29" s="76">
        <f t="shared" si="4"/>
        <v>0</v>
      </c>
    </row>
    <row r="30" spans="1:25" ht="27.75" customHeight="1" x14ac:dyDescent="0.2">
      <c r="A30" s="412" t="s">
        <v>451</v>
      </c>
      <c r="B30" s="412"/>
      <c r="C30" s="412"/>
      <c r="D30" s="412"/>
      <c r="E30" s="412"/>
      <c r="F30" s="412"/>
      <c r="G30" s="10">
        <v>24</v>
      </c>
      <c r="H30" s="78">
        <f>SUM(H10:H29)</f>
        <v>1672021210</v>
      </c>
      <c r="I30" s="78">
        <f t="shared" ref="I30:Y30" si="5">SUM(I10:I29)</f>
        <v>5710563</v>
      </c>
      <c r="J30" s="78">
        <f t="shared" si="5"/>
        <v>83601061</v>
      </c>
      <c r="K30" s="78">
        <f t="shared" si="5"/>
        <v>136815284</v>
      </c>
      <c r="L30" s="78">
        <f t="shared" si="5"/>
        <v>124418266</v>
      </c>
      <c r="M30" s="78">
        <f t="shared" si="5"/>
        <v>0</v>
      </c>
      <c r="N30" s="78">
        <f t="shared" si="5"/>
        <v>2249472</v>
      </c>
      <c r="O30" s="78">
        <f t="shared" si="5"/>
        <v>0</v>
      </c>
      <c r="P30" s="78">
        <f t="shared" si="5"/>
        <v>81109</v>
      </c>
      <c r="Q30" s="78">
        <f t="shared" si="5"/>
        <v>0</v>
      </c>
      <c r="R30" s="78">
        <f t="shared" si="5"/>
        <v>0</v>
      </c>
      <c r="S30" s="78">
        <f t="shared" si="5"/>
        <v>0</v>
      </c>
      <c r="T30" s="78">
        <f t="shared" si="5"/>
        <v>0</v>
      </c>
      <c r="U30" s="78">
        <f t="shared" si="5"/>
        <v>538614167</v>
      </c>
      <c r="V30" s="78">
        <f t="shared" si="5"/>
        <v>304605806</v>
      </c>
      <c r="W30" s="78">
        <f t="shared" si="5"/>
        <v>2619280406</v>
      </c>
      <c r="X30" s="78">
        <f t="shared" si="5"/>
        <v>0</v>
      </c>
      <c r="Y30" s="78">
        <f t="shared" si="5"/>
        <v>2619280406</v>
      </c>
    </row>
    <row r="31" spans="1:25" x14ac:dyDescent="0.2">
      <c r="A31" s="413" t="s">
        <v>372</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row>
    <row r="32" spans="1:25" ht="36.75" customHeight="1" x14ac:dyDescent="0.2">
      <c r="A32" s="415" t="s">
        <v>452</v>
      </c>
      <c r="B32" s="409"/>
      <c r="C32" s="409"/>
      <c r="D32" s="409"/>
      <c r="E32" s="409"/>
      <c r="F32" s="409"/>
      <c r="G32" s="9">
        <v>25</v>
      </c>
      <c r="H32" s="77">
        <f>SUM(H12:H20)</f>
        <v>0</v>
      </c>
      <c r="I32" s="77">
        <f t="shared" ref="I32:Y32" si="6">SUM(I12:I20)</f>
        <v>0</v>
      </c>
      <c r="J32" s="77">
        <f t="shared" si="6"/>
        <v>0</v>
      </c>
      <c r="K32" s="77">
        <f t="shared" si="6"/>
        <v>0</v>
      </c>
      <c r="L32" s="77">
        <f t="shared" si="6"/>
        <v>0</v>
      </c>
      <c r="M32" s="77">
        <f t="shared" si="6"/>
        <v>0</v>
      </c>
      <c r="N32" s="77">
        <f t="shared" si="6"/>
        <v>0</v>
      </c>
      <c r="O32" s="77">
        <f t="shared" si="6"/>
        <v>0</v>
      </c>
      <c r="P32" s="77">
        <f t="shared" si="6"/>
        <v>80237</v>
      </c>
      <c r="Q32" s="77">
        <f t="shared" si="6"/>
        <v>0</v>
      </c>
      <c r="R32" s="77">
        <f t="shared" si="6"/>
        <v>0</v>
      </c>
      <c r="S32" s="77">
        <f t="shared" si="6"/>
        <v>0</v>
      </c>
      <c r="T32" s="77">
        <f t="shared" si="6"/>
        <v>0</v>
      </c>
      <c r="U32" s="77">
        <f t="shared" si="6"/>
        <v>0</v>
      </c>
      <c r="V32" s="77">
        <f t="shared" si="6"/>
        <v>0</v>
      </c>
      <c r="W32" s="77">
        <f t="shared" si="6"/>
        <v>80237</v>
      </c>
      <c r="X32" s="77">
        <f t="shared" si="6"/>
        <v>0</v>
      </c>
      <c r="Y32" s="77">
        <f t="shared" si="6"/>
        <v>80237</v>
      </c>
    </row>
    <row r="33" spans="1:25" ht="31.5" customHeight="1" x14ac:dyDescent="0.2">
      <c r="A33" s="415" t="s">
        <v>453</v>
      </c>
      <c r="B33" s="409"/>
      <c r="C33" s="409"/>
      <c r="D33" s="409"/>
      <c r="E33" s="409"/>
      <c r="F33" s="409"/>
      <c r="G33" s="9">
        <v>26</v>
      </c>
      <c r="H33" s="77">
        <f>H11+H32</f>
        <v>0</v>
      </c>
      <c r="I33" s="77">
        <f t="shared" ref="I33:Y33" si="7">I11+I32</f>
        <v>0</v>
      </c>
      <c r="J33" s="77">
        <f t="shared" si="7"/>
        <v>0</v>
      </c>
      <c r="K33" s="77">
        <f t="shared" si="7"/>
        <v>0</v>
      </c>
      <c r="L33" s="77">
        <f t="shared" si="7"/>
        <v>0</v>
      </c>
      <c r="M33" s="77">
        <f t="shared" si="7"/>
        <v>0</v>
      </c>
      <c r="N33" s="77">
        <f t="shared" si="7"/>
        <v>0</v>
      </c>
      <c r="O33" s="77">
        <f t="shared" si="7"/>
        <v>0</v>
      </c>
      <c r="P33" s="77">
        <f t="shared" si="7"/>
        <v>80237</v>
      </c>
      <c r="Q33" s="77">
        <f t="shared" si="7"/>
        <v>0</v>
      </c>
      <c r="R33" s="77">
        <f t="shared" si="7"/>
        <v>0</v>
      </c>
      <c r="S33" s="77">
        <f t="shared" si="7"/>
        <v>0</v>
      </c>
      <c r="T33" s="77">
        <f t="shared" si="7"/>
        <v>0</v>
      </c>
      <c r="U33" s="77">
        <f t="shared" si="7"/>
        <v>0</v>
      </c>
      <c r="V33" s="77">
        <f t="shared" si="7"/>
        <v>304605806</v>
      </c>
      <c r="W33" s="77">
        <f t="shared" si="7"/>
        <v>304686043</v>
      </c>
      <c r="X33" s="77">
        <f t="shared" si="7"/>
        <v>0</v>
      </c>
      <c r="Y33" s="77">
        <f t="shared" si="7"/>
        <v>304686043</v>
      </c>
    </row>
    <row r="34" spans="1:25" ht="30.75" customHeight="1" x14ac:dyDescent="0.2">
      <c r="A34" s="416" t="s">
        <v>454</v>
      </c>
      <c r="B34" s="410"/>
      <c r="C34" s="410"/>
      <c r="D34" s="410"/>
      <c r="E34" s="410"/>
      <c r="F34" s="410"/>
      <c r="G34" s="9">
        <v>27</v>
      </c>
      <c r="H34" s="78">
        <f>SUM(H21:H29)</f>
        <v>0</v>
      </c>
      <c r="I34" s="78">
        <f t="shared" ref="I34:Y34" si="8">SUM(I21:I29)</f>
        <v>0</v>
      </c>
      <c r="J34" s="78">
        <f t="shared" si="8"/>
        <v>0</v>
      </c>
      <c r="K34" s="78">
        <f t="shared" si="8"/>
        <v>0</v>
      </c>
      <c r="L34" s="78">
        <f t="shared" si="8"/>
        <v>0</v>
      </c>
      <c r="M34" s="78">
        <f t="shared" si="8"/>
        <v>0</v>
      </c>
      <c r="N34" s="78">
        <f t="shared" si="8"/>
        <v>0</v>
      </c>
      <c r="O34" s="78">
        <f t="shared" si="8"/>
        <v>0</v>
      </c>
      <c r="P34" s="78">
        <f t="shared" si="8"/>
        <v>0</v>
      </c>
      <c r="Q34" s="78">
        <f t="shared" si="8"/>
        <v>0</v>
      </c>
      <c r="R34" s="78">
        <f t="shared" si="8"/>
        <v>0</v>
      </c>
      <c r="S34" s="78">
        <f t="shared" si="8"/>
        <v>0</v>
      </c>
      <c r="T34" s="78">
        <f t="shared" si="8"/>
        <v>0</v>
      </c>
      <c r="U34" s="78">
        <f t="shared" si="8"/>
        <v>-379179336</v>
      </c>
      <c r="V34" s="78">
        <f t="shared" si="8"/>
        <v>308549679</v>
      </c>
      <c r="W34" s="78">
        <f t="shared" si="8"/>
        <v>-70629657</v>
      </c>
      <c r="X34" s="78">
        <f t="shared" si="8"/>
        <v>0</v>
      </c>
      <c r="Y34" s="78">
        <f t="shared" si="8"/>
        <v>-70629657</v>
      </c>
    </row>
    <row r="35" spans="1:25" x14ac:dyDescent="0.2">
      <c r="A35" s="413" t="s">
        <v>373</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row>
    <row r="36" spans="1:25" x14ac:dyDescent="0.2">
      <c r="A36" s="418" t="s">
        <v>374</v>
      </c>
      <c r="B36" s="418"/>
      <c r="C36" s="418"/>
      <c r="D36" s="418"/>
      <c r="E36" s="418"/>
      <c r="F36" s="418"/>
      <c r="G36" s="8">
        <v>28</v>
      </c>
      <c r="H36" s="75">
        <v>1672021210</v>
      </c>
      <c r="I36" s="75">
        <v>5710563</v>
      </c>
      <c r="J36" s="75">
        <v>83601061</v>
      </c>
      <c r="K36" s="75">
        <v>136815284</v>
      </c>
      <c r="L36" s="75">
        <v>124418266</v>
      </c>
      <c r="M36" s="75">
        <v>0</v>
      </c>
      <c r="N36" s="75">
        <v>2249472</v>
      </c>
      <c r="O36" s="75">
        <v>0</v>
      </c>
      <c r="P36" s="75">
        <v>81109</v>
      </c>
      <c r="Q36" s="75">
        <v>0</v>
      </c>
      <c r="R36" s="75">
        <v>0</v>
      </c>
      <c r="S36" s="75">
        <v>0</v>
      </c>
      <c r="T36" s="75">
        <v>0</v>
      </c>
      <c r="U36" s="75">
        <v>538614167</v>
      </c>
      <c r="V36" s="75">
        <v>304605806</v>
      </c>
      <c r="W36" s="76">
        <f>H36+I36+J36+K36-L36+M36+N36+O36+P36+Q36+R36+U36+V36+S36+T36</f>
        <v>2619280406</v>
      </c>
      <c r="X36" s="75">
        <v>0</v>
      </c>
      <c r="Y36" s="76">
        <f t="shared" ref="Y36:Y38" si="9">W36+X36</f>
        <v>2619280406</v>
      </c>
    </row>
    <row r="37" spans="1:25" x14ac:dyDescent="0.2">
      <c r="A37" s="411" t="s">
        <v>375</v>
      </c>
      <c r="B37" s="411"/>
      <c r="C37" s="411"/>
      <c r="D37" s="411"/>
      <c r="E37" s="411"/>
      <c r="F37" s="411"/>
      <c r="G37" s="8">
        <v>29</v>
      </c>
      <c r="H37" s="75">
        <v>0</v>
      </c>
      <c r="I37" s="75">
        <v>0</v>
      </c>
      <c r="J37" s="75">
        <v>0</v>
      </c>
      <c r="K37" s="75">
        <v>0</v>
      </c>
      <c r="L37" s="75">
        <v>0</v>
      </c>
      <c r="M37" s="75">
        <v>0</v>
      </c>
      <c r="N37" s="75">
        <v>0</v>
      </c>
      <c r="O37" s="75">
        <v>0</v>
      </c>
      <c r="P37" s="75">
        <v>0</v>
      </c>
      <c r="Q37" s="75">
        <v>0</v>
      </c>
      <c r="R37" s="75">
        <v>0</v>
      </c>
      <c r="S37" s="75">
        <v>0</v>
      </c>
      <c r="T37" s="75">
        <v>0</v>
      </c>
      <c r="U37" s="75">
        <v>0</v>
      </c>
      <c r="V37" s="75">
        <v>0</v>
      </c>
      <c r="W37" s="76">
        <f>H37+I37+J37+K37-L37+M37+N37+O37+P37+Q37+R37+U37+V37</f>
        <v>0</v>
      </c>
      <c r="X37" s="75">
        <v>0</v>
      </c>
      <c r="Y37" s="76">
        <f t="shared" si="9"/>
        <v>0</v>
      </c>
    </row>
    <row r="38" spans="1:25" x14ac:dyDescent="0.2">
      <c r="A38" s="411" t="s">
        <v>376</v>
      </c>
      <c r="B38" s="411"/>
      <c r="C38" s="411"/>
      <c r="D38" s="411"/>
      <c r="E38" s="411"/>
      <c r="F38" s="411"/>
      <c r="G38" s="8">
        <v>30</v>
      </c>
      <c r="H38" s="75">
        <v>0</v>
      </c>
      <c r="I38" s="75">
        <v>0</v>
      </c>
      <c r="J38" s="75">
        <v>0</v>
      </c>
      <c r="K38" s="75">
        <v>0</v>
      </c>
      <c r="L38" s="75">
        <v>0</v>
      </c>
      <c r="M38" s="75">
        <v>0</v>
      </c>
      <c r="N38" s="75">
        <v>0</v>
      </c>
      <c r="O38" s="75">
        <v>0</v>
      </c>
      <c r="P38" s="75">
        <v>0</v>
      </c>
      <c r="Q38" s="75">
        <v>0</v>
      </c>
      <c r="R38" s="75">
        <v>0</v>
      </c>
      <c r="S38" s="75">
        <v>0</v>
      </c>
      <c r="T38" s="75">
        <v>0</v>
      </c>
      <c r="U38" s="75">
        <v>0</v>
      </c>
      <c r="V38" s="75">
        <v>0</v>
      </c>
      <c r="W38" s="76">
        <f>H38+I38+J38+K38-L38+M38+N38+O38+P38+Q38+R38+U38+V38</f>
        <v>0</v>
      </c>
      <c r="X38" s="75">
        <v>0</v>
      </c>
      <c r="Y38" s="76">
        <f t="shared" si="9"/>
        <v>0</v>
      </c>
    </row>
    <row r="39" spans="1:25" ht="25.5" customHeight="1" x14ac:dyDescent="0.2">
      <c r="A39" s="419" t="s">
        <v>455</v>
      </c>
      <c r="B39" s="419"/>
      <c r="C39" s="419"/>
      <c r="D39" s="419"/>
      <c r="E39" s="419"/>
      <c r="F39" s="419"/>
      <c r="G39" s="9">
        <v>31</v>
      </c>
      <c r="H39" s="77">
        <f>H36+H37+H38</f>
        <v>1672021210</v>
      </c>
      <c r="I39" s="77">
        <f t="shared" ref="I39:Y39" si="10">I36+I37+I38</f>
        <v>5710563</v>
      </c>
      <c r="J39" s="77">
        <f t="shared" si="10"/>
        <v>83601061</v>
      </c>
      <c r="K39" s="77">
        <f t="shared" si="10"/>
        <v>136815284</v>
      </c>
      <c r="L39" s="77">
        <f t="shared" si="10"/>
        <v>124418266</v>
      </c>
      <c r="M39" s="77">
        <f t="shared" si="10"/>
        <v>0</v>
      </c>
      <c r="N39" s="77">
        <f t="shared" si="10"/>
        <v>2249472</v>
      </c>
      <c r="O39" s="77">
        <f t="shared" si="10"/>
        <v>0</v>
      </c>
      <c r="P39" s="77">
        <f t="shared" si="10"/>
        <v>81109</v>
      </c>
      <c r="Q39" s="77">
        <f t="shared" si="10"/>
        <v>0</v>
      </c>
      <c r="R39" s="77">
        <f t="shared" si="10"/>
        <v>0</v>
      </c>
      <c r="S39" s="77">
        <f t="shared" si="10"/>
        <v>0</v>
      </c>
      <c r="T39" s="77">
        <f t="shared" si="10"/>
        <v>0</v>
      </c>
      <c r="U39" s="77">
        <f t="shared" si="10"/>
        <v>538614167</v>
      </c>
      <c r="V39" s="77">
        <f t="shared" si="10"/>
        <v>304605806</v>
      </c>
      <c r="W39" s="77">
        <f t="shared" si="10"/>
        <v>2619280406</v>
      </c>
      <c r="X39" s="77">
        <f t="shared" si="10"/>
        <v>0</v>
      </c>
      <c r="Y39" s="77">
        <f t="shared" si="10"/>
        <v>2619280406</v>
      </c>
    </row>
    <row r="40" spans="1:25" x14ac:dyDescent="0.2">
      <c r="A40" s="411" t="s">
        <v>377</v>
      </c>
      <c r="B40" s="411"/>
      <c r="C40" s="411"/>
      <c r="D40" s="411"/>
      <c r="E40" s="411"/>
      <c r="F40" s="411"/>
      <c r="G40" s="8">
        <v>32</v>
      </c>
      <c r="H40" s="79">
        <v>0</v>
      </c>
      <c r="I40" s="79">
        <v>0</v>
      </c>
      <c r="J40" s="79">
        <v>0</v>
      </c>
      <c r="K40" s="79">
        <v>0</v>
      </c>
      <c r="L40" s="79">
        <v>0</v>
      </c>
      <c r="M40" s="79">
        <v>0</v>
      </c>
      <c r="N40" s="79">
        <v>0</v>
      </c>
      <c r="O40" s="79">
        <v>0</v>
      </c>
      <c r="P40" s="79">
        <v>0</v>
      </c>
      <c r="Q40" s="79">
        <v>0</v>
      </c>
      <c r="R40" s="79">
        <v>0</v>
      </c>
      <c r="S40" s="79"/>
      <c r="T40" s="79"/>
      <c r="U40" s="79">
        <v>0</v>
      </c>
      <c r="V40" s="75">
        <v>560684341</v>
      </c>
      <c r="W40" s="76">
        <f t="shared" ref="W40:W58" si="11">H40+I40+J40+K40-L40+M40+N40+O40+P40+Q40+R40+U40+V40+S40+T40</f>
        <v>560684341</v>
      </c>
      <c r="X40" s="75"/>
      <c r="Y40" s="76">
        <f t="shared" ref="Y40:Y58" si="12">W40+X40</f>
        <v>560684341</v>
      </c>
    </row>
    <row r="41" spans="1:25" x14ac:dyDescent="0.2">
      <c r="A41" s="411" t="s">
        <v>378</v>
      </c>
      <c r="B41" s="411"/>
      <c r="C41" s="411"/>
      <c r="D41" s="411"/>
      <c r="E41" s="411"/>
      <c r="F41" s="411"/>
      <c r="G41" s="8">
        <v>33</v>
      </c>
      <c r="H41" s="79">
        <v>0</v>
      </c>
      <c r="I41" s="79">
        <v>0</v>
      </c>
      <c r="J41" s="79">
        <v>0</v>
      </c>
      <c r="K41" s="79">
        <v>0</v>
      </c>
      <c r="L41" s="79">
        <v>0</v>
      </c>
      <c r="M41" s="79">
        <v>0</v>
      </c>
      <c r="N41" s="75"/>
      <c r="O41" s="79">
        <v>0</v>
      </c>
      <c r="P41" s="79">
        <v>0</v>
      </c>
      <c r="Q41" s="79">
        <v>0</v>
      </c>
      <c r="R41" s="79">
        <v>0</v>
      </c>
      <c r="S41" s="79"/>
      <c r="T41" s="79"/>
      <c r="U41" s="79">
        <v>0</v>
      </c>
      <c r="V41" s="79">
        <v>0</v>
      </c>
      <c r="W41" s="76">
        <f t="shared" si="11"/>
        <v>0</v>
      </c>
      <c r="X41" s="75"/>
      <c r="Y41" s="76">
        <f t="shared" si="12"/>
        <v>0</v>
      </c>
    </row>
    <row r="42" spans="1:25" ht="27" customHeight="1" x14ac:dyDescent="0.2">
      <c r="A42" s="411" t="s">
        <v>379</v>
      </c>
      <c r="B42" s="411"/>
      <c r="C42" s="411"/>
      <c r="D42" s="411"/>
      <c r="E42" s="411"/>
      <c r="F42" s="411"/>
      <c r="G42" s="8">
        <v>34</v>
      </c>
      <c r="H42" s="79">
        <v>0</v>
      </c>
      <c r="I42" s="79">
        <v>0</v>
      </c>
      <c r="J42" s="79">
        <v>0</v>
      </c>
      <c r="K42" s="79">
        <v>0</v>
      </c>
      <c r="L42" s="79">
        <v>0</v>
      </c>
      <c r="M42" s="79">
        <v>0</v>
      </c>
      <c r="N42" s="79">
        <v>0</v>
      </c>
      <c r="O42" s="75"/>
      <c r="P42" s="79">
        <v>0</v>
      </c>
      <c r="Q42" s="79">
        <v>0</v>
      </c>
      <c r="R42" s="79">
        <v>0</v>
      </c>
      <c r="S42" s="79"/>
      <c r="T42" s="79"/>
      <c r="U42" s="75"/>
      <c r="V42" s="75">
        <v>0</v>
      </c>
      <c r="W42" s="76">
        <f t="shared" si="11"/>
        <v>0</v>
      </c>
      <c r="X42" s="75"/>
      <c r="Y42" s="76">
        <f t="shared" si="12"/>
        <v>0</v>
      </c>
    </row>
    <row r="43" spans="1:25" ht="20.25" customHeight="1" x14ac:dyDescent="0.2">
      <c r="A43" s="411" t="s">
        <v>443</v>
      </c>
      <c r="B43" s="411"/>
      <c r="C43" s="411"/>
      <c r="D43" s="411"/>
      <c r="E43" s="411"/>
      <c r="F43" s="411"/>
      <c r="G43" s="8">
        <v>35</v>
      </c>
      <c r="H43" s="79">
        <v>0</v>
      </c>
      <c r="I43" s="79">
        <v>0</v>
      </c>
      <c r="J43" s="79">
        <v>0</v>
      </c>
      <c r="K43" s="79">
        <v>0</v>
      </c>
      <c r="L43" s="79">
        <v>0</v>
      </c>
      <c r="M43" s="79">
        <v>0</v>
      </c>
      <c r="N43" s="79">
        <v>0</v>
      </c>
      <c r="O43" s="79">
        <v>0</v>
      </c>
      <c r="P43" s="75">
        <v>-26827</v>
      </c>
      <c r="Q43" s="79">
        <v>0</v>
      </c>
      <c r="R43" s="79">
        <v>0</v>
      </c>
      <c r="S43" s="79"/>
      <c r="T43" s="79"/>
      <c r="U43" s="75"/>
      <c r="V43" s="75">
        <v>0</v>
      </c>
      <c r="W43" s="76">
        <f t="shared" si="11"/>
        <v>-26827</v>
      </c>
      <c r="X43" s="75"/>
      <c r="Y43" s="76">
        <f t="shared" si="12"/>
        <v>-26827</v>
      </c>
    </row>
    <row r="44" spans="1:25" ht="21" customHeight="1" x14ac:dyDescent="0.2">
      <c r="A44" s="411" t="s">
        <v>380</v>
      </c>
      <c r="B44" s="411"/>
      <c r="C44" s="411"/>
      <c r="D44" s="411"/>
      <c r="E44" s="411"/>
      <c r="F44" s="411"/>
      <c r="G44" s="8">
        <v>36</v>
      </c>
      <c r="H44" s="79">
        <v>0</v>
      </c>
      <c r="I44" s="79">
        <v>0</v>
      </c>
      <c r="J44" s="79">
        <v>0</v>
      </c>
      <c r="K44" s="79">
        <v>0</v>
      </c>
      <c r="L44" s="79">
        <v>0</v>
      </c>
      <c r="M44" s="79">
        <v>0</v>
      </c>
      <c r="N44" s="79">
        <v>0</v>
      </c>
      <c r="O44" s="79">
        <v>0</v>
      </c>
      <c r="P44" s="79">
        <v>0</v>
      </c>
      <c r="Q44" s="75"/>
      <c r="R44" s="79">
        <v>0</v>
      </c>
      <c r="S44" s="79"/>
      <c r="T44" s="79"/>
      <c r="U44" s="75"/>
      <c r="V44" s="75">
        <v>0</v>
      </c>
      <c r="W44" s="76">
        <f t="shared" si="11"/>
        <v>0</v>
      </c>
      <c r="X44" s="75"/>
      <c r="Y44" s="76">
        <f t="shared" si="12"/>
        <v>0</v>
      </c>
    </row>
    <row r="45" spans="1:25" ht="29.25" customHeight="1" x14ac:dyDescent="0.2">
      <c r="A45" s="411" t="s">
        <v>381</v>
      </c>
      <c r="B45" s="411"/>
      <c r="C45" s="411"/>
      <c r="D45" s="411"/>
      <c r="E45" s="411"/>
      <c r="F45" s="411"/>
      <c r="G45" s="8">
        <v>37</v>
      </c>
      <c r="H45" s="79">
        <v>0</v>
      </c>
      <c r="I45" s="79">
        <v>0</v>
      </c>
      <c r="J45" s="79">
        <v>0</v>
      </c>
      <c r="K45" s="79">
        <v>0</v>
      </c>
      <c r="L45" s="79">
        <v>0</v>
      </c>
      <c r="M45" s="79">
        <v>0</v>
      </c>
      <c r="N45" s="79">
        <v>0</v>
      </c>
      <c r="O45" s="79">
        <v>0</v>
      </c>
      <c r="P45" s="79">
        <v>0</v>
      </c>
      <c r="Q45" s="79">
        <v>0</v>
      </c>
      <c r="R45" s="75"/>
      <c r="S45" s="75"/>
      <c r="T45" s="75"/>
      <c r="U45" s="75"/>
      <c r="V45" s="75">
        <v>0</v>
      </c>
      <c r="W45" s="76">
        <f t="shared" si="11"/>
        <v>0</v>
      </c>
      <c r="X45" s="75"/>
      <c r="Y45" s="76">
        <f t="shared" si="12"/>
        <v>0</v>
      </c>
    </row>
    <row r="46" spans="1:25" ht="21" customHeight="1" x14ac:dyDescent="0.2">
      <c r="A46" s="411" t="s">
        <v>382</v>
      </c>
      <c r="B46" s="411"/>
      <c r="C46" s="411"/>
      <c r="D46" s="411"/>
      <c r="E46" s="411"/>
      <c r="F46" s="411"/>
      <c r="G46" s="8">
        <v>38</v>
      </c>
      <c r="H46" s="79">
        <v>0</v>
      </c>
      <c r="I46" s="79">
        <v>0</v>
      </c>
      <c r="J46" s="79">
        <v>0</v>
      </c>
      <c r="K46" s="79">
        <v>0</v>
      </c>
      <c r="L46" s="79">
        <v>0</v>
      </c>
      <c r="M46" s="79">
        <v>0</v>
      </c>
      <c r="N46" s="75">
        <v>0</v>
      </c>
      <c r="O46" s="75"/>
      <c r="P46" s="75"/>
      <c r="Q46" s="75"/>
      <c r="R46" s="75"/>
      <c r="S46" s="75"/>
      <c r="T46" s="75"/>
      <c r="U46" s="75">
        <v>0</v>
      </c>
      <c r="V46" s="75">
        <v>0</v>
      </c>
      <c r="W46" s="76">
        <f t="shared" si="11"/>
        <v>0</v>
      </c>
      <c r="X46" s="75"/>
      <c r="Y46" s="76">
        <f t="shared" si="12"/>
        <v>0</v>
      </c>
    </row>
    <row r="47" spans="1:25" x14ac:dyDescent="0.2">
      <c r="A47" s="411" t="s">
        <v>383</v>
      </c>
      <c r="B47" s="411"/>
      <c r="C47" s="411"/>
      <c r="D47" s="411"/>
      <c r="E47" s="411"/>
      <c r="F47" s="411"/>
      <c r="G47" s="8">
        <v>39</v>
      </c>
      <c r="H47" s="79">
        <v>0</v>
      </c>
      <c r="I47" s="79">
        <v>0</v>
      </c>
      <c r="J47" s="79">
        <v>0</v>
      </c>
      <c r="K47" s="79">
        <v>0</v>
      </c>
      <c r="L47" s="79">
        <v>0</v>
      </c>
      <c r="M47" s="79">
        <v>0</v>
      </c>
      <c r="N47" s="75"/>
      <c r="O47" s="75"/>
      <c r="P47" s="75"/>
      <c r="Q47" s="75"/>
      <c r="R47" s="75"/>
      <c r="S47" s="75"/>
      <c r="T47" s="75"/>
      <c r="U47" s="75">
        <v>0</v>
      </c>
      <c r="V47" s="75">
        <v>0</v>
      </c>
      <c r="W47" s="76">
        <f t="shared" si="11"/>
        <v>0</v>
      </c>
      <c r="X47" s="75"/>
      <c r="Y47" s="76">
        <f t="shared" si="12"/>
        <v>0</v>
      </c>
    </row>
    <row r="48" spans="1:25" x14ac:dyDescent="0.2">
      <c r="A48" s="411" t="s">
        <v>384</v>
      </c>
      <c r="B48" s="411"/>
      <c r="C48" s="411"/>
      <c r="D48" s="411"/>
      <c r="E48" s="411"/>
      <c r="F48" s="411"/>
      <c r="G48" s="8">
        <v>40</v>
      </c>
      <c r="H48" s="75"/>
      <c r="I48" s="75"/>
      <c r="J48" s="75"/>
      <c r="K48" s="75"/>
      <c r="L48" s="75"/>
      <c r="M48" s="75"/>
      <c r="N48" s="75"/>
      <c r="O48" s="75"/>
      <c r="P48" s="75"/>
      <c r="Q48" s="75"/>
      <c r="R48" s="75"/>
      <c r="S48" s="75"/>
      <c r="T48" s="75"/>
      <c r="U48" s="75">
        <v>0</v>
      </c>
      <c r="V48" s="75">
        <v>0</v>
      </c>
      <c r="W48" s="76">
        <f t="shared" si="11"/>
        <v>0</v>
      </c>
      <c r="X48" s="75"/>
      <c r="Y48" s="76">
        <f t="shared" si="12"/>
        <v>0</v>
      </c>
    </row>
    <row r="49" spans="1:25" x14ac:dyDescent="0.2">
      <c r="A49" s="411" t="s">
        <v>456</v>
      </c>
      <c r="B49" s="411"/>
      <c r="C49" s="411"/>
      <c r="D49" s="411"/>
      <c r="E49" s="411"/>
      <c r="F49" s="411"/>
      <c r="G49" s="8">
        <v>41</v>
      </c>
      <c r="H49" s="79">
        <v>0</v>
      </c>
      <c r="I49" s="79">
        <v>0</v>
      </c>
      <c r="J49" s="79">
        <v>0</v>
      </c>
      <c r="K49" s="79">
        <v>0</v>
      </c>
      <c r="L49" s="79">
        <v>0</v>
      </c>
      <c r="M49" s="79">
        <v>0</v>
      </c>
      <c r="N49" s="75"/>
      <c r="O49" s="75"/>
      <c r="P49" s="75">
        <v>4829</v>
      </c>
      <c r="Q49" s="75"/>
      <c r="R49" s="75"/>
      <c r="S49" s="75"/>
      <c r="T49" s="75"/>
      <c r="U49" s="75">
        <v>0</v>
      </c>
      <c r="V49" s="75">
        <v>0</v>
      </c>
      <c r="W49" s="76">
        <f t="shared" si="11"/>
        <v>4829</v>
      </c>
      <c r="X49" s="75"/>
      <c r="Y49" s="76">
        <f t="shared" si="12"/>
        <v>4829</v>
      </c>
    </row>
    <row r="50" spans="1:25" ht="32.25" customHeight="1" x14ac:dyDescent="0.2">
      <c r="A50" s="411" t="s">
        <v>457</v>
      </c>
      <c r="B50" s="411"/>
      <c r="C50" s="411"/>
      <c r="D50" s="411"/>
      <c r="E50" s="411"/>
      <c r="F50" s="411"/>
      <c r="G50" s="8">
        <v>42</v>
      </c>
      <c r="H50" s="75"/>
      <c r="I50" s="75"/>
      <c r="J50" s="75"/>
      <c r="K50" s="75"/>
      <c r="L50" s="75"/>
      <c r="M50" s="75"/>
      <c r="N50" s="75"/>
      <c r="O50" s="75"/>
      <c r="P50" s="75"/>
      <c r="Q50" s="75"/>
      <c r="R50" s="75"/>
      <c r="S50" s="75"/>
      <c r="T50" s="75"/>
      <c r="U50" s="75">
        <v>0</v>
      </c>
      <c r="V50" s="75">
        <v>0</v>
      </c>
      <c r="W50" s="76">
        <f t="shared" si="11"/>
        <v>0</v>
      </c>
      <c r="X50" s="75"/>
      <c r="Y50" s="76">
        <f t="shared" si="12"/>
        <v>0</v>
      </c>
    </row>
    <row r="51" spans="1:25" ht="26.25" customHeight="1" x14ac:dyDescent="0.2">
      <c r="A51" s="411" t="s">
        <v>444</v>
      </c>
      <c r="B51" s="411"/>
      <c r="C51" s="411"/>
      <c r="D51" s="411"/>
      <c r="E51" s="411"/>
      <c r="F51" s="411"/>
      <c r="G51" s="8">
        <v>43</v>
      </c>
      <c r="H51" s="75"/>
      <c r="I51" s="75"/>
      <c r="J51" s="75"/>
      <c r="K51" s="75"/>
      <c r="L51" s="75"/>
      <c r="M51" s="75"/>
      <c r="N51" s="75"/>
      <c r="O51" s="75"/>
      <c r="P51" s="75"/>
      <c r="Q51" s="75"/>
      <c r="R51" s="75"/>
      <c r="S51" s="75"/>
      <c r="T51" s="75"/>
      <c r="U51" s="75">
        <v>0</v>
      </c>
      <c r="V51" s="75">
        <v>0</v>
      </c>
      <c r="W51" s="76">
        <f t="shared" si="11"/>
        <v>0</v>
      </c>
      <c r="X51" s="75"/>
      <c r="Y51" s="76">
        <f t="shared" si="12"/>
        <v>0</v>
      </c>
    </row>
    <row r="52" spans="1:25" ht="22.5" customHeight="1" x14ac:dyDescent="0.2">
      <c r="A52" s="411" t="s">
        <v>458</v>
      </c>
      <c r="B52" s="411"/>
      <c r="C52" s="411"/>
      <c r="D52" s="411"/>
      <c r="E52" s="411"/>
      <c r="F52" s="411"/>
      <c r="G52" s="8">
        <v>44</v>
      </c>
      <c r="H52" s="75"/>
      <c r="I52" s="75"/>
      <c r="J52" s="75"/>
      <c r="K52" s="75"/>
      <c r="L52" s="75"/>
      <c r="M52" s="75"/>
      <c r="N52" s="75"/>
      <c r="O52" s="75"/>
      <c r="P52" s="75"/>
      <c r="Q52" s="75"/>
      <c r="R52" s="75"/>
      <c r="S52" s="75"/>
      <c r="T52" s="75"/>
      <c r="U52" s="75">
        <v>0</v>
      </c>
      <c r="V52" s="75">
        <v>0</v>
      </c>
      <c r="W52" s="76">
        <f t="shared" si="11"/>
        <v>0</v>
      </c>
      <c r="X52" s="75"/>
      <c r="Y52" s="76">
        <f t="shared" si="12"/>
        <v>0</v>
      </c>
    </row>
    <row r="53" spans="1:25" x14ac:dyDescent="0.2">
      <c r="A53" s="411" t="s">
        <v>459</v>
      </c>
      <c r="B53" s="411"/>
      <c r="C53" s="411"/>
      <c r="D53" s="411"/>
      <c r="E53" s="411"/>
      <c r="F53" s="411"/>
      <c r="G53" s="8">
        <v>45</v>
      </c>
      <c r="H53" s="75"/>
      <c r="I53" s="75"/>
      <c r="J53" s="75"/>
      <c r="K53" s="75"/>
      <c r="L53" s="75"/>
      <c r="M53" s="75"/>
      <c r="N53" s="75"/>
      <c r="O53" s="75"/>
      <c r="P53" s="75"/>
      <c r="Q53" s="75"/>
      <c r="R53" s="75"/>
      <c r="S53" s="75"/>
      <c r="T53" s="75"/>
      <c r="U53" s="75">
        <v>0</v>
      </c>
      <c r="V53" s="75">
        <v>0</v>
      </c>
      <c r="W53" s="76">
        <f t="shared" si="11"/>
        <v>0</v>
      </c>
      <c r="X53" s="75"/>
      <c r="Y53" s="76">
        <f t="shared" si="12"/>
        <v>0</v>
      </c>
    </row>
    <row r="54" spans="1:25" x14ac:dyDescent="0.2">
      <c r="A54" s="411" t="s">
        <v>446</v>
      </c>
      <c r="B54" s="411"/>
      <c r="C54" s="411"/>
      <c r="D54" s="411"/>
      <c r="E54" s="411"/>
      <c r="F54" s="411"/>
      <c r="G54" s="8">
        <v>46</v>
      </c>
      <c r="H54" s="75"/>
      <c r="I54" s="75"/>
      <c r="J54" s="75"/>
      <c r="K54" s="75"/>
      <c r="L54" s="75"/>
      <c r="M54" s="75"/>
      <c r="N54" s="75"/>
      <c r="O54" s="75"/>
      <c r="P54" s="75"/>
      <c r="Q54" s="75"/>
      <c r="R54" s="75"/>
      <c r="S54" s="75"/>
      <c r="T54" s="75"/>
      <c r="U54" s="75">
        <v>0</v>
      </c>
      <c r="V54" s="75">
        <v>0</v>
      </c>
      <c r="W54" s="76">
        <f t="shared" si="11"/>
        <v>0</v>
      </c>
      <c r="X54" s="75"/>
      <c r="Y54" s="76">
        <f t="shared" si="12"/>
        <v>0</v>
      </c>
    </row>
    <row r="55" spans="1:25" x14ac:dyDescent="0.2">
      <c r="A55" s="411" t="s">
        <v>447</v>
      </c>
      <c r="B55" s="411"/>
      <c r="C55" s="411"/>
      <c r="D55" s="411"/>
      <c r="E55" s="411"/>
      <c r="F55" s="411"/>
      <c r="G55" s="8">
        <v>47</v>
      </c>
      <c r="H55" s="75"/>
      <c r="I55" s="75"/>
      <c r="J55" s="75"/>
      <c r="K55" s="75"/>
      <c r="L55" s="75"/>
      <c r="M55" s="75"/>
      <c r="N55" s="75"/>
      <c r="O55" s="75"/>
      <c r="P55" s="75"/>
      <c r="Q55" s="75"/>
      <c r="R55" s="75"/>
      <c r="S55" s="75"/>
      <c r="T55" s="75"/>
      <c r="U55" s="75">
        <v>-146265489</v>
      </c>
      <c r="V55" s="75">
        <v>0</v>
      </c>
      <c r="W55" s="76">
        <f t="shared" si="11"/>
        <v>-146265489</v>
      </c>
      <c r="X55" s="75"/>
      <c r="Y55" s="76">
        <f t="shared" si="12"/>
        <v>-146265489</v>
      </c>
    </row>
    <row r="56" spans="1:25" x14ac:dyDescent="0.2">
      <c r="A56" s="411" t="s">
        <v>448</v>
      </c>
      <c r="B56" s="411"/>
      <c r="C56" s="411"/>
      <c r="D56" s="411"/>
      <c r="E56" s="411"/>
      <c r="F56" s="411"/>
      <c r="G56" s="8">
        <v>48</v>
      </c>
      <c r="H56" s="75"/>
      <c r="I56" s="75"/>
      <c r="J56" s="75"/>
      <c r="K56" s="75"/>
      <c r="L56" s="75"/>
      <c r="M56" s="75"/>
      <c r="N56" s="75">
        <v>38533600</v>
      </c>
      <c r="O56" s="75"/>
      <c r="P56" s="75"/>
      <c r="Q56" s="75"/>
      <c r="R56" s="75"/>
      <c r="S56" s="75"/>
      <c r="T56" s="75"/>
      <c r="U56" s="75">
        <v>2739417</v>
      </c>
      <c r="V56" s="75">
        <v>0</v>
      </c>
      <c r="W56" s="76">
        <f t="shared" si="11"/>
        <v>41273017</v>
      </c>
      <c r="X56" s="75"/>
      <c r="Y56" s="76">
        <f t="shared" si="12"/>
        <v>41273017</v>
      </c>
    </row>
    <row r="57" spans="1:25" ht="23.25" customHeight="1" x14ac:dyDescent="0.2">
      <c r="A57" s="411" t="s">
        <v>460</v>
      </c>
      <c r="B57" s="411"/>
      <c r="C57" s="411"/>
      <c r="D57" s="411"/>
      <c r="E57" s="411"/>
      <c r="F57" s="411"/>
      <c r="G57" s="8">
        <v>49</v>
      </c>
      <c r="H57" s="75"/>
      <c r="I57" s="75"/>
      <c r="J57" s="75"/>
      <c r="K57" s="75"/>
      <c r="L57" s="75"/>
      <c r="M57" s="75"/>
      <c r="N57" s="75">
        <v>-2249472</v>
      </c>
      <c r="O57" s="75"/>
      <c r="P57" s="75"/>
      <c r="Q57" s="75"/>
      <c r="R57" s="75"/>
      <c r="S57" s="75"/>
      <c r="T57" s="75"/>
      <c r="U57" s="75">
        <v>306855278</v>
      </c>
      <c r="V57" s="75">
        <v>-304605806</v>
      </c>
      <c r="W57" s="76">
        <f t="shared" si="11"/>
        <v>0</v>
      </c>
      <c r="X57" s="75"/>
      <c r="Y57" s="76">
        <f t="shared" si="12"/>
        <v>0</v>
      </c>
    </row>
    <row r="58" spans="1:25" ht="23.25" customHeight="1" x14ac:dyDescent="0.2">
      <c r="A58" s="411" t="s">
        <v>450</v>
      </c>
      <c r="B58" s="411"/>
      <c r="C58" s="411"/>
      <c r="D58" s="411"/>
      <c r="E58" s="411"/>
      <c r="F58" s="411"/>
      <c r="G58" s="8">
        <v>50</v>
      </c>
      <c r="H58" s="75"/>
      <c r="I58" s="75"/>
      <c r="J58" s="75"/>
      <c r="K58" s="75"/>
      <c r="L58" s="75"/>
      <c r="M58" s="75"/>
      <c r="N58" s="75"/>
      <c r="O58" s="75"/>
      <c r="P58" s="75"/>
      <c r="Q58" s="75"/>
      <c r="R58" s="75"/>
      <c r="S58" s="75"/>
      <c r="T58" s="75"/>
      <c r="U58" s="75">
        <v>0</v>
      </c>
      <c r="V58" s="75">
        <v>0</v>
      </c>
      <c r="W58" s="76">
        <f t="shared" si="11"/>
        <v>0</v>
      </c>
      <c r="X58" s="75"/>
      <c r="Y58" s="76">
        <f t="shared" si="12"/>
        <v>0</v>
      </c>
    </row>
    <row r="59" spans="1:25" ht="24" customHeight="1" x14ac:dyDescent="0.2">
      <c r="A59" s="412" t="s">
        <v>461</v>
      </c>
      <c r="B59" s="412"/>
      <c r="C59" s="412"/>
      <c r="D59" s="412"/>
      <c r="E59" s="412"/>
      <c r="F59" s="412"/>
      <c r="G59" s="10">
        <v>51</v>
      </c>
      <c r="H59" s="78">
        <f t="shared" ref="H59:T59" si="13">SUM(H39:H58)</f>
        <v>1672021210</v>
      </c>
      <c r="I59" s="78">
        <f t="shared" si="13"/>
        <v>5710563</v>
      </c>
      <c r="J59" s="78">
        <f t="shared" si="13"/>
        <v>83601061</v>
      </c>
      <c r="K59" s="78">
        <f t="shared" si="13"/>
        <v>136815284</v>
      </c>
      <c r="L59" s="78">
        <f t="shared" si="13"/>
        <v>124418266</v>
      </c>
      <c r="M59" s="78">
        <f t="shared" si="13"/>
        <v>0</v>
      </c>
      <c r="N59" s="78">
        <f t="shared" si="13"/>
        <v>38533600</v>
      </c>
      <c r="O59" s="78">
        <f t="shared" si="13"/>
        <v>0</v>
      </c>
      <c r="P59" s="78">
        <f t="shared" si="13"/>
        <v>59111</v>
      </c>
      <c r="Q59" s="78">
        <f t="shared" si="13"/>
        <v>0</v>
      </c>
      <c r="R59" s="78">
        <f t="shared" si="13"/>
        <v>0</v>
      </c>
      <c r="S59" s="78">
        <f t="shared" si="13"/>
        <v>0</v>
      </c>
      <c r="T59" s="78">
        <f t="shared" si="13"/>
        <v>0</v>
      </c>
      <c r="U59" s="78">
        <f>SUM(U39:U58)</f>
        <v>701943373</v>
      </c>
      <c r="V59" s="78">
        <f>SUM(V39:V58)</f>
        <v>560684341</v>
      </c>
      <c r="W59" s="78">
        <f>SUM(W39:W58)</f>
        <v>3074950277</v>
      </c>
      <c r="X59" s="78">
        <f>SUM(X39:X58)</f>
        <v>0</v>
      </c>
      <c r="Y59" s="78">
        <f>SUM(Y39:Y58)</f>
        <v>3074950277</v>
      </c>
    </row>
    <row r="60" spans="1:25" x14ac:dyDescent="0.2">
      <c r="A60" s="413" t="s">
        <v>385</v>
      </c>
      <c r="B60" s="414"/>
      <c r="C60" s="414"/>
      <c r="D60" s="414"/>
      <c r="E60" s="414"/>
      <c r="F60" s="414"/>
      <c r="G60" s="414"/>
      <c r="H60" s="414"/>
      <c r="I60" s="414"/>
      <c r="J60" s="414"/>
      <c r="K60" s="414"/>
      <c r="L60" s="414"/>
      <c r="M60" s="414"/>
      <c r="N60" s="414"/>
      <c r="O60" s="414"/>
      <c r="P60" s="414"/>
      <c r="Q60" s="414"/>
      <c r="R60" s="414"/>
      <c r="S60" s="414"/>
      <c r="T60" s="414"/>
      <c r="U60" s="414"/>
      <c r="V60" s="414"/>
      <c r="W60" s="414"/>
      <c r="X60" s="414"/>
      <c r="Y60" s="414"/>
    </row>
    <row r="61" spans="1:25" ht="31.5" customHeight="1" x14ac:dyDescent="0.2">
      <c r="A61" s="409" t="s">
        <v>462</v>
      </c>
      <c r="B61" s="409"/>
      <c r="C61" s="409"/>
      <c r="D61" s="409"/>
      <c r="E61" s="409"/>
      <c r="F61" s="409"/>
      <c r="G61" s="9">
        <v>52</v>
      </c>
      <c r="H61" s="77">
        <f t="shared" ref="H61:T61" si="14">SUM(H41:H49)</f>
        <v>0</v>
      </c>
      <c r="I61" s="77">
        <f t="shared" si="14"/>
        <v>0</v>
      </c>
      <c r="J61" s="77">
        <f t="shared" si="14"/>
        <v>0</v>
      </c>
      <c r="K61" s="77">
        <f t="shared" si="14"/>
        <v>0</v>
      </c>
      <c r="L61" s="77">
        <f t="shared" si="14"/>
        <v>0</v>
      </c>
      <c r="M61" s="77">
        <f t="shared" si="14"/>
        <v>0</v>
      </c>
      <c r="N61" s="77">
        <f t="shared" si="14"/>
        <v>0</v>
      </c>
      <c r="O61" s="77">
        <f t="shared" si="14"/>
        <v>0</v>
      </c>
      <c r="P61" s="77">
        <f t="shared" si="14"/>
        <v>-21998</v>
      </c>
      <c r="Q61" s="77">
        <f t="shared" si="14"/>
        <v>0</v>
      </c>
      <c r="R61" s="77">
        <f t="shared" si="14"/>
        <v>0</v>
      </c>
      <c r="S61" s="77">
        <f t="shared" si="14"/>
        <v>0</v>
      </c>
      <c r="T61" s="77">
        <f t="shared" si="14"/>
        <v>0</v>
      </c>
      <c r="U61" s="77">
        <f>SUM(U41:U49)</f>
        <v>0</v>
      </c>
      <c r="V61" s="77">
        <f>SUM(V41:V49)</f>
        <v>0</v>
      </c>
      <c r="W61" s="77">
        <f>SUM(W41:W49)</f>
        <v>-21998</v>
      </c>
      <c r="X61" s="77">
        <f>SUM(X41:X49)</f>
        <v>0</v>
      </c>
      <c r="Y61" s="77">
        <f>SUM(Y41:Y49)</f>
        <v>-21998</v>
      </c>
    </row>
    <row r="62" spans="1:25" ht="27.75" customHeight="1" x14ac:dyDescent="0.2">
      <c r="A62" s="409" t="s">
        <v>463</v>
      </c>
      <c r="B62" s="409"/>
      <c r="C62" s="409"/>
      <c r="D62" s="409"/>
      <c r="E62" s="409"/>
      <c r="F62" s="409"/>
      <c r="G62" s="9">
        <v>53</v>
      </c>
      <c r="H62" s="77">
        <f t="shared" ref="H62:T62" si="15">H40+H61</f>
        <v>0</v>
      </c>
      <c r="I62" s="77">
        <f t="shared" si="15"/>
        <v>0</v>
      </c>
      <c r="J62" s="77">
        <f t="shared" si="15"/>
        <v>0</v>
      </c>
      <c r="K62" s="77">
        <f t="shared" si="15"/>
        <v>0</v>
      </c>
      <c r="L62" s="77">
        <f t="shared" si="15"/>
        <v>0</v>
      </c>
      <c r="M62" s="77">
        <f t="shared" si="15"/>
        <v>0</v>
      </c>
      <c r="N62" s="77">
        <f t="shared" si="15"/>
        <v>0</v>
      </c>
      <c r="O62" s="77">
        <f t="shared" si="15"/>
        <v>0</v>
      </c>
      <c r="P62" s="77">
        <f t="shared" si="15"/>
        <v>-21998</v>
      </c>
      <c r="Q62" s="77">
        <f t="shared" si="15"/>
        <v>0</v>
      </c>
      <c r="R62" s="77">
        <f t="shared" si="15"/>
        <v>0</v>
      </c>
      <c r="S62" s="77">
        <f t="shared" si="15"/>
        <v>0</v>
      </c>
      <c r="T62" s="77">
        <f t="shared" si="15"/>
        <v>0</v>
      </c>
      <c r="U62" s="77">
        <f>U40+U61</f>
        <v>0</v>
      </c>
      <c r="V62" s="77">
        <f>V40+V61</f>
        <v>560684341</v>
      </c>
      <c r="W62" s="77">
        <f>W40+W61</f>
        <v>560662343</v>
      </c>
      <c r="X62" s="77">
        <f>X40+X61</f>
        <v>0</v>
      </c>
      <c r="Y62" s="77">
        <f>Y40+Y61</f>
        <v>560662343</v>
      </c>
    </row>
    <row r="63" spans="1:25" ht="29.25" customHeight="1" x14ac:dyDescent="0.2">
      <c r="A63" s="410" t="s">
        <v>464</v>
      </c>
      <c r="B63" s="410"/>
      <c r="C63" s="410"/>
      <c r="D63" s="410"/>
      <c r="E63" s="410"/>
      <c r="F63" s="410"/>
      <c r="G63" s="10">
        <v>54</v>
      </c>
      <c r="H63" s="78">
        <f t="shared" ref="H63:T63" si="16">SUM(H50:H58)</f>
        <v>0</v>
      </c>
      <c r="I63" s="78">
        <f t="shared" si="16"/>
        <v>0</v>
      </c>
      <c r="J63" s="78">
        <f t="shared" si="16"/>
        <v>0</v>
      </c>
      <c r="K63" s="78">
        <f t="shared" si="16"/>
        <v>0</v>
      </c>
      <c r="L63" s="78">
        <f t="shared" si="16"/>
        <v>0</v>
      </c>
      <c r="M63" s="78">
        <f t="shared" si="16"/>
        <v>0</v>
      </c>
      <c r="N63" s="78">
        <f t="shared" si="16"/>
        <v>36284128</v>
      </c>
      <c r="O63" s="78">
        <f t="shared" si="16"/>
        <v>0</v>
      </c>
      <c r="P63" s="78">
        <f t="shared" si="16"/>
        <v>0</v>
      </c>
      <c r="Q63" s="78">
        <f t="shared" si="16"/>
        <v>0</v>
      </c>
      <c r="R63" s="78">
        <f t="shared" si="16"/>
        <v>0</v>
      </c>
      <c r="S63" s="78">
        <f t="shared" si="16"/>
        <v>0</v>
      </c>
      <c r="T63" s="78">
        <f t="shared" si="16"/>
        <v>0</v>
      </c>
      <c r="U63" s="78">
        <f>SUM(U50:U58)</f>
        <v>163329206</v>
      </c>
      <c r="V63" s="78">
        <f>SUM(V50:V58)</f>
        <v>-304605806</v>
      </c>
      <c r="W63" s="78">
        <f>SUM(W50:W58)</f>
        <v>-104992472</v>
      </c>
      <c r="X63" s="78">
        <f>SUM(X50:X58)</f>
        <v>0</v>
      </c>
      <c r="Y63" s="78">
        <f>SUM(Y50:Y58)</f>
        <v>-104992472</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3"/>
  <sheetViews>
    <sheetView tabSelected="1" topLeftCell="A232" zoomScale="90" zoomScaleNormal="90" workbookViewId="0">
      <selection activeCell="D234" sqref="D234"/>
    </sheetView>
  </sheetViews>
  <sheetFormatPr defaultRowHeight="12.75" x14ac:dyDescent="0.2"/>
  <cols>
    <col min="1" max="1" width="30" customWidth="1"/>
    <col min="2" max="4" width="9" bestFit="1" customWidth="1"/>
    <col min="5" max="6" width="9.85546875" bestFit="1" customWidth="1"/>
    <col min="7" max="7" width="76.140625" bestFit="1" customWidth="1"/>
    <col min="8" max="8" width="10.28515625" style="222" bestFit="1" customWidth="1"/>
    <col min="10" max="10" width="86" customWidth="1"/>
  </cols>
  <sheetData>
    <row r="1" spans="1:10" x14ac:dyDescent="0.2">
      <c r="A1" s="440" t="s">
        <v>747</v>
      </c>
      <c r="B1" s="441"/>
      <c r="C1" s="441"/>
      <c r="D1" s="441"/>
      <c r="E1" s="441"/>
      <c r="F1" s="441"/>
      <c r="G1" s="441"/>
      <c r="H1" s="441"/>
      <c r="I1" s="441"/>
      <c r="J1" s="441"/>
    </row>
    <row r="2" spans="1:10" x14ac:dyDescent="0.2">
      <c r="A2" s="441"/>
      <c r="B2" s="441"/>
      <c r="C2" s="441"/>
      <c r="D2" s="441"/>
      <c r="E2" s="441"/>
      <c r="F2" s="441"/>
      <c r="G2" s="441"/>
      <c r="H2" s="441"/>
      <c r="I2" s="441"/>
      <c r="J2" s="441"/>
    </row>
    <row r="3" spans="1:10" x14ac:dyDescent="0.2">
      <c r="A3" s="441"/>
      <c r="B3" s="441"/>
      <c r="C3" s="441"/>
      <c r="D3" s="441"/>
      <c r="E3" s="441"/>
      <c r="F3" s="441"/>
      <c r="G3" s="441"/>
      <c r="H3" s="441"/>
      <c r="I3" s="441"/>
      <c r="J3" s="441"/>
    </row>
    <row r="4" spans="1:10" x14ac:dyDescent="0.2">
      <c r="A4" s="441"/>
      <c r="B4" s="441"/>
      <c r="C4" s="441"/>
      <c r="D4" s="441"/>
      <c r="E4" s="441"/>
      <c r="F4" s="441"/>
      <c r="G4" s="441"/>
      <c r="H4" s="441"/>
      <c r="I4" s="441"/>
      <c r="J4" s="441"/>
    </row>
    <row r="5" spans="1:10" x14ac:dyDescent="0.2">
      <c r="A5" s="441"/>
      <c r="B5" s="441"/>
      <c r="C5" s="441"/>
      <c r="D5" s="441"/>
      <c r="E5" s="441"/>
      <c r="F5" s="441"/>
      <c r="G5" s="441"/>
      <c r="H5" s="441"/>
      <c r="I5" s="441"/>
      <c r="J5" s="441"/>
    </row>
    <row r="6" spans="1:10" x14ac:dyDescent="0.2">
      <c r="A6" s="441"/>
      <c r="B6" s="441"/>
      <c r="C6" s="441"/>
      <c r="D6" s="441"/>
      <c r="E6" s="441"/>
      <c r="F6" s="441"/>
      <c r="G6" s="441"/>
      <c r="H6" s="441"/>
      <c r="I6" s="441"/>
      <c r="J6" s="441"/>
    </row>
    <row r="7" spans="1:10" x14ac:dyDescent="0.2">
      <c r="A7" s="441"/>
      <c r="B7" s="441"/>
      <c r="C7" s="441"/>
      <c r="D7" s="441"/>
      <c r="E7" s="441"/>
      <c r="F7" s="441"/>
      <c r="G7" s="441"/>
      <c r="H7" s="441"/>
      <c r="I7" s="441"/>
      <c r="J7" s="441"/>
    </row>
    <row r="8" spans="1:10" x14ac:dyDescent="0.2">
      <c r="A8" s="441"/>
      <c r="B8" s="441"/>
      <c r="C8" s="441"/>
      <c r="D8" s="441"/>
      <c r="E8" s="441"/>
      <c r="F8" s="441"/>
      <c r="G8" s="441"/>
      <c r="H8" s="441"/>
      <c r="I8" s="441"/>
      <c r="J8" s="441"/>
    </row>
    <row r="9" spans="1:10" x14ac:dyDescent="0.2">
      <c r="A9" s="441"/>
      <c r="B9" s="441"/>
      <c r="C9" s="441"/>
      <c r="D9" s="441"/>
      <c r="E9" s="441"/>
      <c r="F9" s="441"/>
      <c r="G9" s="441"/>
      <c r="H9" s="441"/>
      <c r="I9" s="441"/>
      <c r="J9" s="441"/>
    </row>
    <row r="10" spans="1:10" x14ac:dyDescent="0.2">
      <c r="A10" s="441"/>
      <c r="B10" s="441"/>
      <c r="C10" s="441"/>
      <c r="D10" s="441"/>
      <c r="E10" s="441"/>
      <c r="F10" s="441"/>
      <c r="G10" s="441"/>
      <c r="H10" s="441"/>
      <c r="I10" s="441"/>
      <c r="J10" s="441"/>
    </row>
    <row r="11" spans="1:10" x14ac:dyDescent="0.2">
      <c r="A11" s="441"/>
      <c r="B11" s="441"/>
      <c r="C11" s="441"/>
      <c r="D11" s="441"/>
      <c r="E11" s="441"/>
      <c r="F11" s="441"/>
      <c r="G11" s="441"/>
      <c r="H11" s="441"/>
      <c r="I11" s="441"/>
      <c r="J11" s="441"/>
    </row>
    <row r="12" spans="1:10" x14ac:dyDescent="0.2">
      <c r="A12" s="441"/>
      <c r="B12" s="441"/>
      <c r="C12" s="441"/>
      <c r="D12" s="441"/>
      <c r="E12" s="441"/>
      <c r="F12" s="441"/>
      <c r="G12" s="441"/>
      <c r="H12" s="441"/>
      <c r="I12" s="441"/>
      <c r="J12" s="441"/>
    </row>
    <row r="13" spans="1:10" x14ac:dyDescent="0.2">
      <c r="A13" s="441"/>
      <c r="B13" s="441"/>
      <c r="C13" s="441"/>
      <c r="D13" s="441"/>
      <c r="E13" s="441"/>
      <c r="F13" s="441"/>
      <c r="G13" s="441"/>
      <c r="H13" s="441"/>
      <c r="I13" s="441"/>
      <c r="J13" s="441"/>
    </row>
    <row r="14" spans="1:10" ht="106.5" customHeight="1" x14ac:dyDescent="0.2">
      <c r="A14" s="441"/>
      <c r="B14" s="441"/>
      <c r="C14" s="441"/>
      <c r="D14" s="441"/>
      <c r="E14" s="441"/>
      <c r="F14" s="441"/>
      <c r="G14" s="441"/>
      <c r="H14" s="441"/>
      <c r="I14" s="441"/>
      <c r="J14" s="441"/>
    </row>
    <row r="15" spans="1:10" x14ac:dyDescent="0.2">
      <c r="A15" s="441"/>
      <c r="B15" s="441"/>
      <c r="C15" s="441"/>
      <c r="D15" s="441"/>
      <c r="E15" s="441"/>
      <c r="F15" s="441"/>
      <c r="G15" s="441"/>
      <c r="H15" s="441"/>
      <c r="I15" s="441"/>
      <c r="J15" s="441"/>
    </row>
    <row r="16" spans="1:10" ht="72.75" customHeight="1" x14ac:dyDescent="0.2">
      <c r="A16" s="441"/>
      <c r="B16" s="441"/>
      <c r="C16" s="441"/>
      <c r="D16" s="441"/>
      <c r="E16" s="441"/>
      <c r="F16" s="441"/>
      <c r="G16" s="441"/>
      <c r="H16" s="441"/>
      <c r="I16" s="441"/>
      <c r="J16" s="441"/>
    </row>
    <row r="17" spans="1:10" x14ac:dyDescent="0.2">
      <c r="A17" s="441"/>
      <c r="B17" s="441"/>
      <c r="C17" s="441"/>
      <c r="D17" s="441"/>
      <c r="E17" s="441"/>
      <c r="F17" s="441"/>
      <c r="G17" s="441"/>
      <c r="H17" s="441"/>
      <c r="I17" s="441"/>
      <c r="J17" s="441"/>
    </row>
    <row r="18" spans="1:10" x14ac:dyDescent="0.2">
      <c r="A18" s="441"/>
      <c r="B18" s="441"/>
      <c r="C18" s="441"/>
      <c r="D18" s="441"/>
      <c r="E18" s="441"/>
      <c r="F18" s="441"/>
      <c r="G18" s="441"/>
      <c r="H18" s="441"/>
      <c r="I18" s="441"/>
      <c r="J18" s="441"/>
    </row>
    <row r="19" spans="1:10" x14ac:dyDescent="0.2">
      <c r="A19" s="441"/>
      <c r="B19" s="441"/>
      <c r="C19" s="441"/>
      <c r="D19" s="441"/>
      <c r="E19" s="441"/>
      <c r="F19" s="441"/>
      <c r="G19" s="441"/>
      <c r="H19" s="441"/>
      <c r="I19" s="441"/>
      <c r="J19" s="441"/>
    </row>
    <row r="20" spans="1:10" ht="58.5" customHeight="1" x14ac:dyDescent="0.2">
      <c r="A20" s="441"/>
      <c r="B20" s="441"/>
      <c r="C20" s="441"/>
      <c r="D20" s="441"/>
      <c r="E20" s="441"/>
      <c r="F20" s="441"/>
      <c r="G20" s="441"/>
      <c r="H20" s="441"/>
      <c r="I20" s="441"/>
      <c r="J20" s="441"/>
    </row>
    <row r="21" spans="1:10" ht="60.75" customHeight="1" x14ac:dyDescent="0.2">
      <c r="A21" s="441"/>
      <c r="B21" s="441"/>
      <c r="C21" s="441"/>
      <c r="D21" s="441"/>
      <c r="E21" s="441"/>
      <c r="F21" s="441"/>
      <c r="G21" s="441"/>
      <c r="H21" s="441"/>
      <c r="I21" s="441"/>
      <c r="J21" s="441"/>
    </row>
    <row r="22" spans="1:10" ht="58.5" customHeight="1" x14ac:dyDescent="0.2">
      <c r="A22" s="441"/>
      <c r="B22" s="441"/>
      <c r="C22" s="441"/>
      <c r="D22" s="441"/>
      <c r="E22" s="441"/>
      <c r="F22" s="441"/>
      <c r="G22" s="441"/>
      <c r="H22" s="441"/>
      <c r="I22" s="441"/>
      <c r="J22" s="441"/>
    </row>
    <row r="23" spans="1:10" ht="52.5" customHeight="1" x14ac:dyDescent="0.2">
      <c r="A23" s="441"/>
      <c r="B23" s="441"/>
      <c r="C23" s="441"/>
      <c r="D23" s="441"/>
      <c r="E23" s="441"/>
      <c r="F23" s="441"/>
      <c r="G23" s="441"/>
      <c r="H23" s="441"/>
      <c r="I23" s="441"/>
      <c r="J23" s="441"/>
    </row>
    <row r="24" spans="1:10" x14ac:dyDescent="0.2">
      <c r="A24" s="441"/>
      <c r="B24" s="441"/>
      <c r="C24" s="441"/>
      <c r="D24" s="441"/>
      <c r="E24" s="441"/>
      <c r="F24" s="441"/>
      <c r="G24" s="441"/>
      <c r="H24" s="441"/>
      <c r="I24" s="441"/>
      <c r="J24" s="441"/>
    </row>
    <row r="25" spans="1:10" x14ac:dyDescent="0.2">
      <c r="A25" s="441"/>
      <c r="B25" s="441"/>
      <c r="C25" s="441"/>
      <c r="D25" s="441"/>
      <c r="E25" s="441"/>
      <c r="F25" s="441"/>
      <c r="G25" s="441"/>
      <c r="H25" s="441"/>
      <c r="I25" s="441"/>
      <c r="J25" s="441"/>
    </row>
    <row r="26" spans="1:10" x14ac:dyDescent="0.2">
      <c r="A26" s="441"/>
      <c r="B26" s="441"/>
      <c r="C26" s="441"/>
      <c r="D26" s="441"/>
      <c r="E26" s="441"/>
      <c r="F26" s="441"/>
      <c r="G26" s="441"/>
      <c r="H26" s="441"/>
      <c r="I26" s="441"/>
      <c r="J26" s="441"/>
    </row>
    <row r="27" spans="1:10" ht="71.25" customHeight="1" x14ac:dyDescent="0.2">
      <c r="A27" s="441"/>
      <c r="B27" s="441"/>
      <c r="C27" s="441"/>
      <c r="D27" s="441"/>
      <c r="E27" s="441"/>
      <c r="F27" s="441"/>
      <c r="G27" s="441"/>
      <c r="H27" s="441"/>
      <c r="I27" s="441"/>
      <c r="J27" s="441"/>
    </row>
    <row r="28" spans="1:10" ht="42.75" customHeight="1" x14ac:dyDescent="0.2">
      <c r="A28" s="441"/>
      <c r="B28" s="441"/>
      <c r="C28" s="441"/>
      <c r="D28" s="441"/>
      <c r="E28" s="441"/>
      <c r="F28" s="441"/>
      <c r="G28" s="441"/>
      <c r="H28" s="441"/>
      <c r="I28" s="441"/>
      <c r="J28" s="441"/>
    </row>
    <row r="29" spans="1:10" ht="23.25" customHeight="1" x14ac:dyDescent="0.2">
      <c r="A29" s="441"/>
      <c r="B29" s="441"/>
      <c r="C29" s="441"/>
      <c r="D29" s="441"/>
      <c r="E29" s="441"/>
      <c r="F29" s="441"/>
      <c r="G29" s="441"/>
      <c r="H29" s="441"/>
      <c r="I29" s="441"/>
      <c r="J29" s="441"/>
    </row>
    <row r="30" spans="1:10" ht="133.5" hidden="1" customHeight="1" x14ac:dyDescent="0.2">
      <c r="A30" s="441"/>
      <c r="B30" s="441"/>
      <c r="C30" s="441"/>
      <c r="D30" s="441"/>
      <c r="E30" s="441"/>
      <c r="F30" s="441"/>
      <c r="G30" s="441"/>
      <c r="H30" s="441"/>
      <c r="I30" s="441"/>
      <c r="J30" s="441"/>
    </row>
    <row r="32" spans="1:10" x14ac:dyDescent="0.2">
      <c r="A32" s="223" t="s">
        <v>748</v>
      </c>
    </row>
    <row r="33" spans="1:8" x14ac:dyDescent="0.2">
      <c r="A33" s="223"/>
    </row>
    <row r="34" spans="1:8" x14ac:dyDescent="0.2">
      <c r="A34" s="223" t="s">
        <v>749</v>
      </c>
    </row>
    <row r="35" spans="1:8" x14ac:dyDescent="0.2">
      <c r="A35" s="223"/>
    </row>
    <row r="36" spans="1:8" x14ac:dyDescent="0.2">
      <c r="A36" s="223" t="s">
        <v>750</v>
      </c>
    </row>
    <row r="38" spans="1:8" ht="15.75" x14ac:dyDescent="0.25">
      <c r="A38" s="115" t="s">
        <v>701</v>
      </c>
      <c r="B38" s="116"/>
      <c r="C38" s="116"/>
      <c r="D38" s="116"/>
      <c r="E38" s="117"/>
      <c r="F38" s="118"/>
      <c r="G38" s="118"/>
      <c r="H38" s="221"/>
    </row>
    <row r="39" spans="1:8" x14ac:dyDescent="0.2">
      <c r="A39" s="119"/>
      <c r="B39" s="116"/>
      <c r="C39" s="116"/>
      <c r="D39" s="116"/>
      <c r="E39" s="117"/>
      <c r="F39" s="118"/>
      <c r="G39" s="118"/>
      <c r="H39" s="221"/>
    </row>
    <row r="40" spans="1:8" x14ac:dyDescent="0.2">
      <c r="A40" s="120" t="s">
        <v>521</v>
      </c>
      <c r="B40" s="120"/>
      <c r="C40" s="120"/>
      <c r="D40" s="120"/>
      <c r="E40" s="120"/>
      <c r="F40" s="120"/>
      <c r="G40" s="120"/>
      <c r="H40" s="221"/>
    </row>
    <row r="41" spans="1:8" ht="13.5" thickBot="1" x14ac:dyDescent="0.25">
      <c r="A41" s="121"/>
      <c r="B41" s="121"/>
      <c r="C41" s="121"/>
      <c r="D41" s="121"/>
      <c r="E41" s="121"/>
      <c r="F41" s="121"/>
      <c r="G41" s="121"/>
      <c r="H41" s="221"/>
    </row>
    <row r="42" spans="1:8" ht="48" x14ac:dyDescent="0.2">
      <c r="A42" s="122" t="s">
        <v>702</v>
      </c>
      <c r="B42" s="123" t="s">
        <v>523</v>
      </c>
      <c r="C42" s="123" t="s">
        <v>524</v>
      </c>
      <c r="D42" s="123" t="s">
        <v>525</v>
      </c>
      <c r="E42" s="123" t="s">
        <v>524</v>
      </c>
      <c r="F42" s="123" t="s">
        <v>526</v>
      </c>
      <c r="G42" s="124" t="s">
        <v>527</v>
      </c>
      <c r="H42" s="221"/>
    </row>
    <row r="43" spans="1:8" ht="132" x14ac:dyDescent="0.2">
      <c r="A43" s="125" t="s">
        <v>528</v>
      </c>
      <c r="B43" s="126" t="s">
        <v>529</v>
      </c>
      <c r="C43" s="127" t="s">
        <v>705</v>
      </c>
      <c r="D43" s="128">
        <f>SUM(D44:D48)</f>
        <v>4681079</v>
      </c>
      <c r="E43" s="128">
        <f>SUM(E44:E48)</f>
        <v>4681079</v>
      </c>
      <c r="F43" s="128">
        <f t="shared" ref="F43:F48" si="0">+E43-D43</f>
        <v>0</v>
      </c>
      <c r="G43" s="129"/>
      <c r="H43" s="221"/>
    </row>
    <row r="44" spans="1:8" x14ac:dyDescent="0.2">
      <c r="A44" s="130" t="s">
        <v>531</v>
      </c>
      <c r="B44" s="131" t="s">
        <v>532</v>
      </c>
      <c r="C44" s="131" t="s">
        <v>439</v>
      </c>
      <c r="D44" s="132">
        <v>36661</v>
      </c>
      <c r="E44" s="132">
        <v>36661</v>
      </c>
      <c r="F44" s="132">
        <f t="shared" si="0"/>
        <v>0</v>
      </c>
      <c r="G44" s="133"/>
      <c r="H44" s="221"/>
    </row>
    <row r="45" spans="1:8" ht="48" x14ac:dyDescent="0.2">
      <c r="A45" s="134" t="s">
        <v>533</v>
      </c>
      <c r="B45" s="135" t="s">
        <v>534</v>
      </c>
      <c r="C45" s="135" t="s">
        <v>535</v>
      </c>
      <c r="D45" s="132">
        <v>3525519</v>
      </c>
      <c r="E45" s="132">
        <f>3496015+2902+26602</f>
        <v>3525519</v>
      </c>
      <c r="F45" s="132">
        <f>+E45-D45</f>
        <v>0</v>
      </c>
      <c r="G45" s="136" t="s">
        <v>707</v>
      </c>
      <c r="H45" s="221"/>
    </row>
    <row r="46" spans="1:8" ht="132" x14ac:dyDescent="0.2">
      <c r="A46" s="134" t="s">
        <v>537</v>
      </c>
      <c r="B46" s="135" t="s">
        <v>538</v>
      </c>
      <c r="C46" s="135" t="s">
        <v>706</v>
      </c>
      <c r="D46" s="132">
        <v>1068140</v>
      </c>
      <c r="E46" s="132">
        <f>941804+107185+332+7315+11504</f>
        <v>1068140</v>
      </c>
      <c r="F46" s="132">
        <f t="shared" si="0"/>
        <v>0</v>
      </c>
      <c r="G46" s="137" t="s">
        <v>743</v>
      </c>
      <c r="H46" s="221"/>
    </row>
    <row r="47" spans="1:8" x14ac:dyDescent="0.2">
      <c r="A47" s="130" t="s">
        <v>541</v>
      </c>
      <c r="B47" s="131" t="s">
        <v>542</v>
      </c>
      <c r="C47" s="135" t="s">
        <v>543</v>
      </c>
      <c r="D47" s="132">
        <v>0</v>
      </c>
      <c r="E47" s="132">
        <v>0</v>
      </c>
      <c r="F47" s="132">
        <f t="shared" si="0"/>
        <v>0</v>
      </c>
      <c r="G47" s="137"/>
      <c r="H47" s="221"/>
    </row>
    <row r="48" spans="1:8" x14ac:dyDescent="0.2">
      <c r="A48" s="130" t="s">
        <v>544</v>
      </c>
      <c r="B48" s="131" t="s">
        <v>545</v>
      </c>
      <c r="C48" s="131" t="s">
        <v>546</v>
      </c>
      <c r="D48" s="132">
        <v>50759</v>
      </c>
      <c r="E48" s="138">
        <v>50759</v>
      </c>
      <c r="F48" s="138">
        <f t="shared" si="0"/>
        <v>0</v>
      </c>
      <c r="G48" s="137"/>
      <c r="H48" s="221"/>
    </row>
    <row r="49" spans="1:8" x14ac:dyDescent="0.2">
      <c r="A49" s="139"/>
      <c r="B49" s="140"/>
      <c r="C49" s="140"/>
      <c r="D49" s="141"/>
      <c r="E49" s="141"/>
      <c r="F49" s="142"/>
      <c r="G49" s="143"/>
      <c r="H49" s="221"/>
    </row>
    <row r="50" spans="1:8" ht="60" x14ac:dyDescent="0.2">
      <c r="A50" s="125" t="s">
        <v>547</v>
      </c>
      <c r="B50" s="126" t="s">
        <v>548</v>
      </c>
      <c r="C50" s="127" t="s">
        <v>708</v>
      </c>
      <c r="D50" s="128">
        <v>525781</v>
      </c>
      <c r="E50" s="128">
        <f>SUM(E51:E54)</f>
        <v>525781</v>
      </c>
      <c r="F50" s="128">
        <f>+E50-D50</f>
        <v>0</v>
      </c>
      <c r="G50" s="144" t="s">
        <v>709</v>
      </c>
      <c r="H50" s="221"/>
    </row>
    <row r="51" spans="1:8" x14ac:dyDescent="0.2">
      <c r="A51" s="130" t="s">
        <v>551</v>
      </c>
      <c r="B51" s="131" t="s">
        <v>552</v>
      </c>
      <c r="C51" s="131" t="s">
        <v>553</v>
      </c>
      <c r="D51" s="132">
        <v>32339</v>
      </c>
      <c r="E51" s="132">
        <v>32339</v>
      </c>
      <c r="F51" s="132">
        <f>+E51-D51</f>
        <v>0</v>
      </c>
      <c r="G51" s="145"/>
      <c r="H51" s="221"/>
    </row>
    <row r="52" spans="1:8" ht="96" x14ac:dyDescent="0.2">
      <c r="A52" s="134" t="s">
        <v>554</v>
      </c>
      <c r="B52" s="135" t="s">
        <v>555</v>
      </c>
      <c r="C52" s="135" t="s">
        <v>543</v>
      </c>
      <c r="D52" s="132">
        <v>39547</v>
      </c>
      <c r="E52" s="132">
        <f>36080+1444+91+294+592+1046</f>
        <v>39547</v>
      </c>
      <c r="F52" s="132">
        <f>+E52-D52</f>
        <v>0</v>
      </c>
      <c r="G52" s="137" t="s">
        <v>710</v>
      </c>
      <c r="H52" s="221"/>
    </row>
    <row r="53" spans="1:8" ht="96" x14ac:dyDescent="0.2">
      <c r="A53" s="130" t="s">
        <v>557</v>
      </c>
      <c r="B53" s="131" t="s">
        <v>558</v>
      </c>
      <c r="C53" s="135" t="s">
        <v>711</v>
      </c>
      <c r="D53" s="132">
        <v>7337</v>
      </c>
      <c r="E53" s="132">
        <f>256+7081</f>
        <v>7337</v>
      </c>
      <c r="F53" s="132">
        <f>+E53-D53</f>
        <v>0</v>
      </c>
      <c r="G53" s="137" t="s">
        <v>744</v>
      </c>
      <c r="H53" s="221"/>
    </row>
    <row r="54" spans="1:8" ht="36" x14ac:dyDescent="0.2">
      <c r="A54" s="130" t="s">
        <v>561</v>
      </c>
      <c r="B54" s="131" t="s">
        <v>562</v>
      </c>
      <c r="C54" s="131" t="s">
        <v>563</v>
      </c>
      <c r="D54" s="132">
        <v>446558</v>
      </c>
      <c r="E54" s="132">
        <v>446558</v>
      </c>
      <c r="F54" s="132">
        <f>+E54-D54</f>
        <v>0</v>
      </c>
      <c r="G54" s="136" t="s">
        <v>712</v>
      </c>
      <c r="H54" s="221"/>
    </row>
    <row r="55" spans="1:8" x14ac:dyDescent="0.2">
      <c r="A55" s="139"/>
      <c r="B55" s="140"/>
      <c r="C55" s="140"/>
      <c r="D55" s="141"/>
      <c r="E55" s="141"/>
      <c r="F55" s="142"/>
      <c r="G55" s="143"/>
      <c r="H55" s="221"/>
    </row>
    <row r="56" spans="1:8" ht="84" x14ac:dyDescent="0.2">
      <c r="A56" s="125" t="s">
        <v>565</v>
      </c>
      <c r="B56" s="127" t="s">
        <v>566</v>
      </c>
      <c r="C56" s="127" t="s">
        <v>543</v>
      </c>
      <c r="D56" s="128">
        <v>16349</v>
      </c>
      <c r="E56" s="128">
        <f>2394+27+13913+15</f>
        <v>16349</v>
      </c>
      <c r="F56" s="128">
        <f>+D56-E56</f>
        <v>0</v>
      </c>
      <c r="G56" s="146" t="s">
        <v>713</v>
      </c>
      <c r="H56" s="221"/>
    </row>
    <row r="57" spans="1:8" ht="13.5" thickBot="1" x14ac:dyDescent="0.25">
      <c r="A57" s="147" t="s">
        <v>568</v>
      </c>
      <c r="B57" s="148" t="s">
        <v>569</v>
      </c>
      <c r="C57" s="149"/>
      <c r="D57" s="150">
        <f>+D43+D50+D56</f>
        <v>5223209</v>
      </c>
      <c r="E57" s="150">
        <f>+E43+E50+E56</f>
        <v>5223209</v>
      </c>
      <c r="F57" s="150">
        <f>+E57-D57</f>
        <v>0</v>
      </c>
      <c r="G57" s="151"/>
      <c r="H57" s="221"/>
    </row>
    <row r="58" spans="1:8" ht="13.5" thickBot="1" x14ac:dyDescent="0.25">
      <c r="A58" s="152"/>
      <c r="B58" s="153"/>
      <c r="C58" s="153"/>
      <c r="D58" s="154"/>
      <c r="E58" s="154"/>
      <c r="F58" s="155"/>
      <c r="G58" s="152"/>
      <c r="H58" s="221"/>
    </row>
    <row r="59" spans="1:8" ht="36" x14ac:dyDescent="0.2">
      <c r="A59" s="156" t="s">
        <v>570</v>
      </c>
      <c r="B59" s="157" t="s">
        <v>571</v>
      </c>
      <c r="C59" s="157" t="s">
        <v>572</v>
      </c>
      <c r="D59" s="158">
        <v>3074950</v>
      </c>
      <c r="E59" s="158">
        <v>3074950</v>
      </c>
      <c r="F59" s="159">
        <f>+E59-D59</f>
        <v>0</v>
      </c>
      <c r="G59" s="160" t="s">
        <v>752</v>
      </c>
      <c r="H59" s="221"/>
    </row>
    <row r="60" spans="1:8" x14ac:dyDescent="0.2">
      <c r="A60" s="130"/>
      <c r="B60" s="140"/>
      <c r="C60" s="140"/>
      <c r="D60" s="141"/>
      <c r="E60" s="141"/>
      <c r="F60" s="142"/>
      <c r="G60" s="143"/>
      <c r="H60" s="221"/>
    </row>
    <row r="61" spans="1:8" ht="78" customHeight="1" x14ac:dyDescent="0.2">
      <c r="A61" s="161" t="s">
        <v>574</v>
      </c>
      <c r="B61" s="127" t="s">
        <v>575</v>
      </c>
      <c r="C61" s="127" t="s">
        <v>714</v>
      </c>
      <c r="D61" s="128">
        <v>147878</v>
      </c>
      <c r="E61" s="128">
        <f>21600+28715+39725+57838</f>
        <v>147878</v>
      </c>
      <c r="F61" s="128">
        <f>+E61-D61</f>
        <v>0</v>
      </c>
      <c r="G61" s="146" t="s">
        <v>715</v>
      </c>
      <c r="H61" s="221"/>
    </row>
    <row r="62" spans="1:8" x14ac:dyDescent="0.2">
      <c r="A62" s="130"/>
      <c r="B62" s="140"/>
      <c r="C62" s="140"/>
      <c r="D62" s="141"/>
      <c r="E62" s="141"/>
      <c r="F62" s="142"/>
      <c r="G62" s="143"/>
      <c r="H62" s="221"/>
    </row>
    <row r="63" spans="1:8" ht="48" x14ac:dyDescent="0.2">
      <c r="A63" s="125" t="s">
        <v>578</v>
      </c>
      <c r="B63" s="127" t="s">
        <v>579</v>
      </c>
      <c r="C63" s="127" t="s">
        <v>717</v>
      </c>
      <c r="D63" s="128">
        <v>1418778</v>
      </c>
      <c r="E63" s="128">
        <f>SUM(E64:E66)</f>
        <v>1418778</v>
      </c>
      <c r="F63" s="128">
        <f>+E63-D63</f>
        <v>0</v>
      </c>
      <c r="G63" s="146" t="s">
        <v>718</v>
      </c>
      <c r="H63" s="221"/>
    </row>
    <row r="64" spans="1:8" ht="51" customHeight="1" x14ac:dyDescent="0.2">
      <c r="A64" s="134" t="s">
        <v>582</v>
      </c>
      <c r="B64" s="131" t="s">
        <v>583</v>
      </c>
      <c r="C64" s="135" t="s">
        <v>584</v>
      </c>
      <c r="D64" s="132">
        <v>1389452</v>
      </c>
      <c r="E64" s="132">
        <f>+D64</f>
        <v>1389452</v>
      </c>
      <c r="F64" s="132">
        <f>+E64-D64</f>
        <v>0</v>
      </c>
      <c r="G64" s="137" t="s">
        <v>719</v>
      </c>
      <c r="H64" s="221"/>
    </row>
    <row r="65" spans="1:8" ht="113.25" customHeight="1" x14ac:dyDescent="0.2">
      <c r="A65" s="130" t="s">
        <v>586</v>
      </c>
      <c r="B65" s="131" t="s">
        <v>587</v>
      </c>
      <c r="C65" s="135" t="s">
        <v>716</v>
      </c>
      <c r="D65" s="132">
        <v>17745</v>
      </c>
      <c r="E65" s="132">
        <v>17745</v>
      </c>
      <c r="F65" s="132">
        <f>+E65-D65</f>
        <v>0</v>
      </c>
      <c r="G65" s="137" t="s">
        <v>720</v>
      </c>
      <c r="H65" s="221"/>
    </row>
    <row r="66" spans="1:8" x14ac:dyDescent="0.2">
      <c r="A66" s="130" t="s">
        <v>590</v>
      </c>
      <c r="B66" s="131" t="s">
        <v>591</v>
      </c>
      <c r="C66" s="131" t="s">
        <v>546</v>
      </c>
      <c r="D66" s="132">
        <v>11581</v>
      </c>
      <c r="E66" s="132">
        <f>+D66</f>
        <v>11581</v>
      </c>
      <c r="F66" s="132">
        <f>+E66-D66</f>
        <v>0</v>
      </c>
      <c r="G66" s="162"/>
      <c r="H66" s="221"/>
    </row>
    <row r="67" spans="1:8" x14ac:dyDescent="0.2">
      <c r="A67" s="139"/>
      <c r="B67" s="140"/>
      <c r="C67" s="140"/>
      <c r="D67" s="141"/>
      <c r="E67" s="141"/>
      <c r="F67" s="142"/>
      <c r="G67" s="143"/>
      <c r="H67" s="221"/>
    </row>
    <row r="68" spans="1:8" ht="60" x14ac:dyDescent="0.2">
      <c r="A68" s="125" t="s">
        <v>592</v>
      </c>
      <c r="B68" s="127" t="s">
        <v>593</v>
      </c>
      <c r="C68" s="127" t="s">
        <v>722</v>
      </c>
      <c r="D68" s="128">
        <v>522198</v>
      </c>
      <c r="E68" s="128">
        <f>SUM(E69:E75)</f>
        <v>522198</v>
      </c>
      <c r="F68" s="128">
        <f t="shared" ref="F68:F75" si="1">+E68-D68</f>
        <v>0</v>
      </c>
      <c r="G68" s="146" t="s">
        <v>723</v>
      </c>
      <c r="H68" s="221"/>
    </row>
    <row r="69" spans="1:8" ht="36" x14ac:dyDescent="0.2">
      <c r="A69" s="134" t="s">
        <v>582</v>
      </c>
      <c r="B69" s="131" t="s">
        <v>596</v>
      </c>
      <c r="C69" s="131" t="s">
        <v>584</v>
      </c>
      <c r="D69" s="132">
        <v>385187</v>
      </c>
      <c r="E69" s="132">
        <v>385187</v>
      </c>
      <c r="F69" s="132">
        <f t="shared" si="1"/>
        <v>0</v>
      </c>
      <c r="G69" s="137" t="s">
        <v>724</v>
      </c>
      <c r="H69" s="221"/>
    </row>
    <row r="70" spans="1:8" ht="140.25" customHeight="1" x14ac:dyDescent="0.2">
      <c r="A70" s="130" t="s">
        <v>598</v>
      </c>
      <c r="B70" s="135" t="s">
        <v>599</v>
      </c>
      <c r="C70" s="135" t="s">
        <v>600</v>
      </c>
      <c r="D70" s="163">
        <v>28989</v>
      </c>
      <c r="E70" s="163">
        <v>28989</v>
      </c>
      <c r="F70" s="132">
        <f t="shared" si="1"/>
        <v>0</v>
      </c>
      <c r="G70" s="136" t="s">
        <v>725</v>
      </c>
      <c r="H70" s="221"/>
    </row>
    <row r="71" spans="1:8" ht="174.2" customHeight="1" x14ac:dyDescent="0.2">
      <c r="A71" s="134" t="s">
        <v>602</v>
      </c>
      <c r="B71" s="135" t="s">
        <v>603</v>
      </c>
      <c r="C71" s="135" t="s">
        <v>600</v>
      </c>
      <c r="D71" s="132">
        <f>221+18+58545</f>
        <v>58784</v>
      </c>
      <c r="E71" s="132">
        <f>58466+318</f>
        <v>58784</v>
      </c>
      <c r="F71" s="164">
        <f t="shared" si="1"/>
        <v>0</v>
      </c>
      <c r="G71" s="137" t="s">
        <v>726</v>
      </c>
      <c r="H71" s="221"/>
    </row>
    <row r="72" spans="1:8" x14ac:dyDescent="0.2">
      <c r="A72" s="165" t="s">
        <v>605</v>
      </c>
      <c r="B72" s="135" t="s">
        <v>606</v>
      </c>
      <c r="C72" s="135" t="s">
        <v>600</v>
      </c>
      <c r="D72" s="132">
        <v>0</v>
      </c>
      <c r="E72" s="132">
        <v>0</v>
      </c>
      <c r="F72" s="164">
        <f>+D72-E72</f>
        <v>0</v>
      </c>
      <c r="G72" s="166"/>
      <c r="H72" s="221"/>
    </row>
    <row r="73" spans="1:8" ht="132" x14ac:dyDescent="0.2">
      <c r="A73" s="130" t="s">
        <v>607</v>
      </c>
      <c r="B73" s="135" t="s">
        <v>608</v>
      </c>
      <c r="C73" s="135" t="s">
        <v>600</v>
      </c>
      <c r="D73" s="163">
        <v>25948</v>
      </c>
      <c r="E73" s="163">
        <v>25948</v>
      </c>
      <c r="F73" s="164">
        <f t="shared" si="1"/>
        <v>0</v>
      </c>
      <c r="G73" s="136" t="s">
        <v>727</v>
      </c>
      <c r="H73" s="221"/>
    </row>
    <row r="74" spans="1:8" ht="144" x14ac:dyDescent="0.2">
      <c r="A74" s="134" t="s">
        <v>610</v>
      </c>
      <c r="B74" s="135" t="s">
        <v>611</v>
      </c>
      <c r="C74" s="135" t="s">
        <v>600</v>
      </c>
      <c r="D74" s="132">
        <v>10515</v>
      </c>
      <c r="E74" s="132">
        <v>10515</v>
      </c>
      <c r="F74" s="164">
        <f t="shared" si="1"/>
        <v>0</v>
      </c>
      <c r="G74" s="137" t="s">
        <v>728</v>
      </c>
      <c r="H74" s="221"/>
    </row>
    <row r="75" spans="1:8" ht="193.7" customHeight="1" x14ac:dyDescent="0.2">
      <c r="A75" s="134" t="s">
        <v>613</v>
      </c>
      <c r="B75" s="135" t="s">
        <v>614</v>
      </c>
      <c r="C75" s="135" t="s">
        <v>721</v>
      </c>
      <c r="D75" s="132">
        <v>12775</v>
      </c>
      <c r="E75" s="132">
        <f>7717+5058</f>
        <v>12775</v>
      </c>
      <c r="F75" s="164">
        <f t="shared" si="1"/>
        <v>0</v>
      </c>
      <c r="G75" s="137" t="s">
        <v>729</v>
      </c>
      <c r="H75" s="221"/>
    </row>
    <row r="76" spans="1:8" x14ac:dyDescent="0.2">
      <c r="A76" s="139"/>
      <c r="B76" s="140"/>
      <c r="C76" s="140"/>
      <c r="D76" s="167"/>
      <c r="E76" s="141"/>
      <c r="F76" s="142"/>
      <c r="G76" s="143"/>
      <c r="H76" s="221"/>
    </row>
    <row r="77" spans="1:8" ht="180" x14ac:dyDescent="0.2">
      <c r="A77" s="125" t="s">
        <v>617</v>
      </c>
      <c r="B77" s="127" t="s">
        <v>618</v>
      </c>
      <c r="C77" s="127" t="s">
        <v>600</v>
      </c>
      <c r="D77" s="128">
        <v>59403</v>
      </c>
      <c r="E77" s="128">
        <f>2205+15058+289+32575+9276</f>
        <v>59403</v>
      </c>
      <c r="F77" s="128">
        <f>+E77-D77</f>
        <v>0</v>
      </c>
      <c r="G77" s="146" t="s">
        <v>745</v>
      </c>
      <c r="H77" s="221"/>
    </row>
    <row r="78" spans="1:8" ht="13.5" thickBot="1" x14ac:dyDescent="0.25">
      <c r="A78" s="147" t="s">
        <v>621</v>
      </c>
      <c r="B78" s="149" t="s">
        <v>622</v>
      </c>
      <c r="C78" s="149"/>
      <c r="D78" s="150">
        <f>+D59+D61+D63+D68+D77+2</f>
        <v>5223209</v>
      </c>
      <c r="E78" s="150">
        <f>+E59+E61+E63+E68+E77+2</f>
        <v>5223209</v>
      </c>
      <c r="F78" s="150">
        <f>+E78-D78</f>
        <v>0</v>
      </c>
      <c r="G78" s="151"/>
      <c r="H78" s="221"/>
    </row>
    <row r="79" spans="1:8" x14ac:dyDescent="0.2">
      <c r="A79" s="168"/>
      <c r="B79" s="168"/>
      <c r="C79" s="168"/>
      <c r="D79" s="168"/>
      <c r="E79" s="168"/>
      <c r="F79" s="168"/>
      <c r="G79" s="168"/>
      <c r="H79" s="221"/>
    </row>
    <row r="80" spans="1:8" x14ac:dyDescent="0.2">
      <c r="A80" s="168"/>
      <c r="B80" s="168"/>
      <c r="C80" s="168"/>
      <c r="D80" s="168"/>
      <c r="E80" s="168"/>
      <c r="F80" s="168"/>
      <c r="G80" s="168"/>
      <c r="H80" s="221"/>
    </row>
    <row r="81" spans="1:8" ht="15.75" x14ac:dyDescent="0.25">
      <c r="A81" s="115" t="s">
        <v>703</v>
      </c>
      <c r="B81" s="115"/>
      <c r="C81" s="115"/>
      <c r="D81" s="115"/>
      <c r="E81" s="115"/>
      <c r="F81" s="115"/>
      <c r="G81" s="115"/>
      <c r="H81" s="221"/>
    </row>
    <row r="82" spans="1:8" x14ac:dyDescent="0.2">
      <c r="A82" s="119"/>
      <c r="B82" s="169"/>
      <c r="C82" s="170"/>
      <c r="D82" s="171"/>
      <c r="E82" s="171"/>
      <c r="F82" s="117"/>
      <c r="G82" s="117"/>
      <c r="H82" s="221"/>
    </row>
    <row r="83" spans="1:8" x14ac:dyDescent="0.2">
      <c r="A83" s="172" t="s">
        <v>521</v>
      </c>
      <c r="B83" s="172"/>
      <c r="C83" s="172"/>
      <c r="D83" s="172"/>
      <c r="E83" s="172"/>
      <c r="F83" s="172"/>
      <c r="G83" s="172"/>
      <c r="H83" s="221"/>
    </row>
    <row r="84" spans="1:8" ht="13.5" thickBot="1" x14ac:dyDescent="0.25">
      <c r="A84" s="173"/>
      <c r="B84" s="174"/>
      <c r="C84" s="175"/>
      <c r="D84" s="176"/>
      <c r="E84" s="176"/>
      <c r="F84" s="177"/>
      <c r="G84" s="178"/>
      <c r="H84" s="221"/>
    </row>
    <row r="85" spans="1:8" ht="48.75" thickBot="1" x14ac:dyDescent="0.25">
      <c r="A85" s="179" t="s">
        <v>746</v>
      </c>
      <c r="B85" s="123" t="s">
        <v>523</v>
      </c>
      <c r="C85" s="123" t="s">
        <v>524</v>
      </c>
      <c r="D85" s="123" t="s">
        <v>525</v>
      </c>
      <c r="E85" s="123" t="s">
        <v>524</v>
      </c>
      <c r="F85" s="123" t="s">
        <v>526</v>
      </c>
      <c r="G85" s="124" t="s">
        <v>527</v>
      </c>
      <c r="H85" s="221"/>
    </row>
    <row r="86" spans="1:8" ht="24" x14ac:dyDescent="0.2">
      <c r="A86" s="180" t="s">
        <v>625</v>
      </c>
      <c r="B86" s="181" t="s">
        <v>626</v>
      </c>
      <c r="C86" s="182" t="s">
        <v>731</v>
      </c>
      <c r="D86" s="183">
        <f>+D87+D88</f>
        <v>2424408</v>
      </c>
      <c r="E86" s="183">
        <f>SUM(E87:E88)</f>
        <v>2424408</v>
      </c>
      <c r="F86" s="183">
        <f>+E86-D86</f>
        <v>0</v>
      </c>
      <c r="G86" s="184"/>
      <c r="H86" s="221"/>
    </row>
    <row r="87" spans="1:8" ht="36" x14ac:dyDescent="0.2">
      <c r="A87" s="134" t="s">
        <v>627</v>
      </c>
      <c r="B87" s="135" t="s">
        <v>628</v>
      </c>
      <c r="C87" s="135" t="s">
        <v>629</v>
      </c>
      <c r="D87" s="132">
        <f>80616+1836670</f>
        <v>1917286</v>
      </c>
      <c r="E87" s="132">
        <v>1917286</v>
      </c>
      <c r="F87" s="132">
        <f>+E87-D87</f>
        <v>0</v>
      </c>
      <c r="G87" s="162"/>
      <c r="H87" s="221"/>
    </row>
    <row r="88" spans="1:8" ht="108" x14ac:dyDescent="0.2">
      <c r="A88" s="134" t="s">
        <v>630</v>
      </c>
      <c r="B88" s="135" t="s">
        <v>631</v>
      </c>
      <c r="C88" s="135" t="s">
        <v>730</v>
      </c>
      <c r="D88" s="132">
        <v>507122</v>
      </c>
      <c r="E88" s="132">
        <f>2816+6341+5710+2874+405+2146+6431+480399</f>
        <v>507122</v>
      </c>
      <c r="F88" s="132">
        <f>+E88-D88</f>
        <v>0</v>
      </c>
      <c r="G88" s="137" t="s">
        <v>732</v>
      </c>
      <c r="H88" s="221"/>
    </row>
    <row r="89" spans="1:8" x14ac:dyDescent="0.2">
      <c r="A89" s="139"/>
      <c r="B89" s="140"/>
      <c r="C89" s="185"/>
      <c r="D89" s="141"/>
      <c r="E89" s="141"/>
      <c r="F89" s="142"/>
      <c r="G89" s="186"/>
      <c r="H89" s="221"/>
    </row>
    <row r="90" spans="1:8" ht="84.2" customHeight="1" x14ac:dyDescent="0.2">
      <c r="A90" s="125" t="s">
        <v>634</v>
      </c>
      <c r="B90" s="126" t="s">
        <v>635</v>
      </c>
      <c r="C90" s="127" t="s">
        <v>733</v>
      </c>
      <c r="D90" s="128">
        <f>SUM(D91:D97)</f>
        <v>1766000</v>
      </c>
      <c r="E90" s="128">
        <f>SUM(E91:E97)</f>
        <v>1766000</v>
      </c>
      <c r="F90" s="128">
        <f t="shared" ref="F90:F97" si="2">+E90-D90</f>
        <v>0</v>
      </c>
      <c r="G90" s="187" t="s">
        <v>734</v>
      </c>
      <c r="H90" s="221"/>
    </row>
    <row r="91" spans="1:8" ht="36" x14ac:dyDescent="0.2">
      <c r="A91" s="130" t="s">
        <v>637</v>
      </c>
      <c r="B91" s="135" t="s">
        <v>638</v>
      </c>
      <c r="C91" s="135" t="s">
        <v>639</v>
      </c>
      <c r="D91" s="132">
        <v>627289</v>
      </c>
      <c r="E91" s="132">
        <v>627289</v>
      </c>
      <c r="F91" s="138">
        <f t="shared" si="2"/>
        <v>0</v>
      </c>
      <c r="G91" s="137" t="s">
        <v>735</v>
      </c>
      <c r="H91" s="221"/>
    </row>
    <row r="92" spans="1:8" ht="91.5" customHeight="1" x14ac:dyDescent="0.2">
      <c r="A92" s="134" t="s">
        <v>641</v>
      </c>
      <c r="B92" s="131" t="s">
        <v>642</v>
      </c>
      <c r="C92" s="135" t="s">
        <v>643</v>
      </c>
      <c r="D92" s="132">
        <v>557627</v>
      </c>
      <c r="E92" s="132">
        <f>361681+87384+65955+42607</f>
        <v>557627</v>
      </c>
      <c r="F92" s="132">
        <f t="shared" si="2"/>
        <v>0</v>
      </c>
      <c r="G92" s="137" t="s">
        <v>754</v>
      </c>
      <c r="H92" s="221"/>
    </row>
    <row r="93" spans="1:8" ht="24" x14ac:dyDescent="0.2">
      <c r="A93" s="134" t="s">
        <v>645</v>
      </c>
      <c r="B93" s="131" t="s">
        <v>646</v>
      </c>
      <c r="C93" s="135" t="s">
        <v>647</v>
      </c>
      <c r="D93" s="132">
        <v>369413</v>
      </c>
      <c r="E93" s="132">
        <f>+D93</f>
        <v>369413</v>
      </c>
      <c r="F93" s="132">
        <f t="shared" si="2"/>
        <v>0</v>
      </c>
      <c r="G93" s="188"/>
      <c r="H93" s="221"/>
    </row>
    <row r="94" spans="1:8" ht="168" x14ac:dyDescent="0.2">
      <c r="A94" s="134" t="s">
        <v>648</v>
      </c>
      <c r="B94" s="131" t="s">
        <v>649</v>
      </c>
      <c r="C94" s="135" t="s">
        <v>650</v>
      </c>
      <c r="D94" s="132">
        <v>185195</v>
      </c>
      <c r="E94" s="132">
        <f>451+111388+32433+25113+6422+6533+1252+1603</f>
        <v>185195</v>
      </c>
      <c r="F94" s="164">
        <f t="shared" si="2"/>
        <v>0</v>
      </c>
      <c r="G94" s="136" t="s">
        <v>736</v>
      </c>
      <c r="H94" s="221"/>
    </row>
    <row r="95" spans="1:8" ht="84" x14ac:dyDescent="0.2">
      <c r="A95" s="130" t="s">
        <v>652</v>
      </c>
      <c r="B95" s="131" t="s">
        <v>653</v>
      </c>
      <c r="C95" s="135" t="s">
        <v>654</v>
      </c>
      <c r="D95" s="132">
        <v>248</v>
      </c>
      <c r="E95" s="132">
        <v>248</v>
      </c>
      <c r="F95" s="132">
        <f t="shared" si="2"/>
        <v>0</v>
      </c>
      <c r="G95" s="137" t="s">
        <v>737</v>
      </c>
      <c r="H95" s="221"/>
    </row>
    <row r="96" spans="1:8" ht="132" x14ac:dyDescent="0.2">
      <c r="A96" s="130" t="s">
        <v>656</v>
      </c>
      <c r="B96" s="131" t="s">
        <v>657</v>
      </c>
      <c r="C96" s="135" t="s">
        <v>650</v>
      </c>
      <c r="D96" s="132">
        <v>18815</v>
      </c>
      <c r="E96" s="132">
        <f>2929+989+14897</f>
        <v>18815</v>
      </c>
      <c r="F96" s="132">
        <f t="shared" si="2"/>
        <v>0</v>
      </c>
      <c r="G96" s="137" t="s">
        <v>738</v>
      </c>
      <c r="H96" s="221"/>
    </row>
    <row r="97" spans="1:8" ht="84" x14ac:dyDescent="0.2">
      <c r="A97" s="130" t="s">
        <v>659</v>
      </c>
      <c r="B97" s="131" t="s">
        <v>660</v>
      </c>
      <c r="C97" s="135" t="s">
        <v>654</v>
      </c>
      <c r="D97" s="164">
        <v>7413</v>
      </c>
      <c r="E97" s="164">
        <f>1749+5664</f>
        <v>7413</v>
      </c>
      <c r="F97" s="132">
        <f t="shared" si="2"/>
        <v>0</v>
      </c>
      <c r="G97" s="137" t="s">
        <v>739</v>
      </c>
      <c r="H97" s="221"/>
    </row>
    <row r="98" spans="1:8" x14ac:dyDescent="0.2">
      <c r="A98" s="139"/>
      <c r="B98" s="140"/>
      <c r="C98" s="185"/>
      <c r="D98" s="141"/>
      <c r="E98" s="141"/>
      <c r="F98" s="142"/>
      <c r="G98" s="186"/>
      <c r="H98" s="221"/>
    </row>
    <row r="99" spans="1:8" ht="120" x14ac:dyDescent="0.2">
      <c r="A99" s="161" t="s">
        <v>662</v>
      </c>
      <c r="B99" s="126" t="s">
        <v>663</v>
      </c>
      <c r="C99" s="127" t="s">
        <v>664</v>
      </c>
      <c r="D99" s="128">
        <v>70947</v>
      </c>
      <c r="E99" s="128">
        <f>66+4429+3367+1688+38430+22967</f>
        <v>70947</v>
      </c>
      <c r="F99" s="128">
        <f>+E99-D99</f>
        <v>0</v>
      </c>
      <c r="G99" s="187" t="s">
        <v>740</v>
      </c>
      <c r="H99" s="221"/>
    </row>
    <row r="100" spans="1:8" x14ac:dyDescent="0.2">
      <c r="A100" s="139"/>
      <c r="B100" s="140"/>
      <c r="C100" s="185"/>
      <c r="D100" s="141"/>
      <c r="E100" s="141"/>
      <c r="F100" s="142"/>
      <c r="G100" s="186"/>
      <c r="H100" s="221"/>
    </row>
    <row r="101" spans="1:8" ht="109.5" customHeight="1" x14ac:dyDescent="0.2">
      <c r="A101" s="161" t="s">
        <v>666</v>
      </c>
      <c r="B101" s="126" t="s">
        <v>667</v>
      </c>
      <c r="C101" s="127" t="s">
        <v>664</v>
      </c>
      <c r="D101" s="128">
        <v>57075</v>
      </c>
      <c r="E101" s="128">
        <f>48973+1880+6222</f>
        <v>57075</v>
      </c>
      <c r="F101" s="128">
        <f>+E101-D101</f>
        <v>0</v>
      </c>
      <c r="G101" s="187" t="s">
        <v>755</v>
      </c>
      <c r="H101" s="221"/>
    </row>
    <row r="102" spans="1:8" x14ac:dyDescent="0.2">
      <c r="A102" s="139"/>
      <c r="B102" s="140"/>
      <c r="C102" s="185"/>
      <c r="D102" s="141"/>
      <c r="E102" s="141"/>
      <c r="F102" s="142"/>
      <c r="G102" s="186"/>
      <c r="H102" s="221"/>
    </row>
    <row r="103" spans="1:8" x14ac:dyDescent="0.2">
      <c r="A103" s="161" t="s">
        <v>669</v>
      </c>
      <c r="B103" s="126" t="s">
        <v>558</v>
      </c>
      <c r="C103" s="127"/>
      <c r="D103" s="128">
        <f>+D99+D86</f>
        <v>2495355</v>
      </c>
      <c r="E103" s="128">
        <f>+E99+E86</f>
        <v>2495355</v>
      </c>
      <c r="F103" s="128">
        <f>+E103-D103</f>
        <v>0</v>
      </c>
      <c r="G103" s="189"/>
      <c r="H103" s="221"/>
    </row>
    <row r="104" spans="1:8" x14ac:dyDescent="0.2">
      <c r="A104" s="190"/>
      <c r="B104" s="140"/>
      <c r="C104" s="185"/>
      <c r="D104" s="191"/>
      <c r="E104" s="191"/>
      <c r="F104" s="192"/>
      <c r="G104" s="193"/>
      <c r="H104" s="221"/>
    </row>
    <row r="105" spans="1:8" x14ac:dyDescent="0.2">
      <c r="A105" s="161" t="s">
        <v>670</v>
      </c>
      <c r="B105" s="126" t="s">
        <v>671</v>
      </c>
      <c r="C105" s="127"/>
      <c r="D105" s="128">
        <f>+D101+D90+1</f>
        <v>1823076</v>
      </c>
      <c r="E105" s="128">
        <f>+E101+E90+1</f>
        <v>1823076</v>
      </c>
      <c r="F105" s="128">
        <f>+E105-D105</f>
        <v>0</v>
      </c>
      <c r="G105" s="189"/>
      <c r="H105" s="221"/>
    </row>
    <row r="106" spans="1:8" x14ac:dyDescent="0.2">
      <c r="A106" s="139"/>
      <c r="B106" s="140"/>
      <c r="C106" s="185"/>
      <c r="D106" s="141"/>
      <c r="E106" s="141"/>
      <c r="F106" s="142"/>
      <c r="G106" s="186"/>
      <c r="H106" s="221"/>
    </row>
    <row r="107" spans="1:8" ht="24" x14ac:dyDescent="0.2">
      <c r="A107" s="125" t="s">
        <v>672</v>
      </c>
      <c r="B107" s="126" t="s">
        <v>673</v>
      </c>
      <c r="C107" s="127"/>
      <c r="D107" s="128">
        <f>+D103-D105</f>
        <v>672279</v>
      </c>
      <c r="E107" s="128">
        <f>+E103-E105</f>
        <v>672279</v>
      </c>
      <c r="F107" s="128">
        <f>+E107-D107</f>
        <v>0</v>
      </c>
      <c r="G107" s="129"/>
      <c r="H107" s="221"/>
    </row>
    <row r="108" spans="1:8" x14ac:dyDescent="0.2">
      <c r="A108" s="139"/>
      <c r="B108" s="140"/>
      <c r="C108" s="185"/>
      <c r="D108" s="141"/>
      <c r="E108" s="141"/>
      <c r="F108" s="142"/>
      <c r="G108" s="186"/>
      <c r="H108" s="221"/>
    </row>
    <row r="109" spans="1:8" x14ac:dyDescent="0.2">
      <c r="A109" s="161" t="s">
        <v>674</v>
      </c>
      <c r="B109" s="126" t="s">
        <v>675</v>
      </c>
      <c r="C109" s="127"/>
      <c r="D109" s="128">
        <v>111595</v>
      </c>
      <c r="E109" s="128">
        <v>111595</v>
      </c>
      <c r="F109" s="128">
        <f>+E109-D109</f>
        <v>0</v>
      </c>
      <c r="G109" s="129"/>
      <c r="H109" s="221"/>
    </row>
    <row r="110" spans="1:8" x14ac:dyDescent="0.2">
      <c r="A110" s="139"/>
      <c r="B110" s="140"/>
      <c r="C110" s="185"/>
      <c r="D110" s="141"/>
      <c r="E110" s="141"/>
      <c r="F110" s="142"/>
      <c r="G110" s="186"/>
      <c r="H110" s="221"/>
    </row>
    <row r="111" spans="1:8" ht="24.75" thickBot="1" x14ac:dyDescent="0.25">
      <c r="A111" s="194" t="s">
        <v>676</v>
      </c>
      <c r="B111" s="195" t="s">
        <v>677</v>
      </c>
      <c r="C111" s="196"/>
      <c r="D111" s="197">
        <f>+D107-D109</f>
        <v>560684</v>
      </c>
      <c r="E111" s="197">
        <f>+E107-E109</f>
        <v>560684</v>
      </c>
      <c r="F111" s="197">
        <f>+E111-D111</f>
        <v>0</v>
      </c>
      <c r="G111" s="198"/>
      <c r="H111" s="221"/>
    </row>
    <row r="115" spans="1:8" ht="15.75" x14ac:dyDescent="0.25">
      <c r="A115" s="115" t="s">
        <v>520</v>
      </c>
      <c r="B115" s="116"/>
      <c r="C115" s="116"/>
      <c r="D115" s="116"/>
      <c r="E115" s="117"/>
      <c r="F115" s="118"/>
      <c r="G115" s="118"/>
      <c r="H115" s="221"/>
    </row>
    <row r="116" spans="1:8" x14ac:dyDescent="0.2">
      <c r="A116" s="119"/>
      <c r="B116" s="116"/>
      <c r="C116" s="116"/>
      <c r="D116" s="116"/>
      <c r="E116" s="117"/>
      <c r="F116" s="118"/>
      <c r="G116" s="118"/>
      <c r="H116" s="221"/>
    </row>
    <row r="117" spans="1:8" x14ac:dyDescent="0.2">
      <c r="A117" s="120" t="s">
        <v>521</v>
      </c>
      <c r="B117" s="120"/>
      <c r="C117" s="120"/>
      <c r="D117" s="120"/>
      <c r="E117" s="120"/>
      <c r="F117" s="120"/>
      <c r="G117" s="120"/>
      <c r="H117" s="221"/>
    </row>
    <row r="118" spans="1:8" ht="13.5" thickBot="1" x14ac:dyDescent="0.25">
      <c r="A118" s="121"/>
      <c r="B118" s="121"/>
      <c r="C118" s="121"/>
      <c r="D118" s="121"/>
      <c r="E118" s="121"/>
      <c r="F118" s="121"/>
      <c r="G118" s="121"/>
      <c r="H118" s="221"/>
    </row>
    <row r="119" spans="1:8" ht="48" x14ac:dyDescent="0.2">
      <c r="A119" s="122" t="s">
        <v>522</v>
      </c>
      <c r="B119" s="123" t="s">
        <v>523</v>
      </c>
      <c r="C119" s="123" t="s">
        <v>524</v>
      </c>
      <c r="D119" s="123" t="s">
        <v>525</v>
      </c>
      <c r="E119" s="123" t="s">
        <v>524</v>
      </c>
      <c r="F119" s="123" t="s">
        <v>526</v>
      </c>
      <c r="G119" s="124" t="s">
        <v>527</v>
      </c>
      <c r="H119" s="221"/>
    </row>
    <row r="120" spans="1:8" ht="108" x14ac:dyDescent="0.2">
      <c r="A120" s="125" t="s">
        <v>528</v>
      </c>
      <c r="B120" s="126" t="s">
        <v>529</v>
      </c>
      <c r="C120" s="127" t="s">
        <v>530</v>
      </c>
      <c r="D120" s="128">
        <f>SUM(D121:D125)</f>
        <v>5152302</v>
      </c>
      <c r="E120" s="128">
        <f>SUM(E121:E125)</f>
        <v>5152302</v>
      </c>
      <c r="F120" s="128">
        <f t="shared" ref="F120:F125" si="3">+E120-D120</f>
        <v>0</v>
      </c>
      <c r="G120" s="129"/>
      <c r="H120" s="221"/>
    </row>
    <row r="121" spans="1:8" x14ac:dyDescent="0.2">
      <c r="A121" s="130" t="s">
        <v>531</v>
      </c>
      <c r="B121" s="131" t="s">
        <v>532</v>
      </c>
      <c r="C121" s="131" t="s">
        <v>439</v>
      </c>
      <c r="D121" s="132">
        <v>34640</v>
      </c>
      <c r="E121" s="132">
        <v>34640</v>
      </c>
      <c r="F121" s="132">
        <f t="shared" si="3"/>
        <v>0</v>
      </c>
      <c r="G121" s="133"/>
      <c r="H121" s="221"/>
    </row>
    <row r="122" spans="1:8" ht="48" x14ac:dyDescent="0.2">
      <c r="A122" s="134" t="s">
        <v>533</v>
      </c>
      <c r="B122" s="135" t="s">
        <v>534</v>
      </c>
      <c r="C122" s="135" t="s">
        <v>535</v>
      </c>
      <c r="D122" s="132">
        <v>3936985</v>
      </c>
      <c r="E122" s="132">
        <f>3916939+3180+16866</f>
        <v>3936985</v>
      </c>
      <c r="F122" s="132">
        <f t="shared" si="3"/>
        <v>0</v>
      </c>
      <c r="G122" s="136" t="s">
        <v>536</v>
      </c>
      <c r="H122" s="221"/>
    </row>
    <row r="123" spans="1:8" ht="72" x14ac:dyDescent="0.2">
      <c r="A123" s="134" t="s">
        <v>537</v>
      </c>
      <c r="B123" s="135" t="s">
        <v>538</v>
      </c>
      <c r="C123" s="135" t="s">
        <v>539</v>
      </c>
      <c r="D123" s="132">
        <v>1017453</v>
      </c>
      <c r="E123" s="132">
        <f>941804+70112+359+5178</f>
        <v>1017453</v>
      </c>
      <c r="F123" s="132">
        <f t="shared" si="3"/>
        <v>0</v>
      </c>
      <c r="G123" s="137" t="s">
        <v>540</v>
      </c>
      <c r="H123" s="221"/>
    </row>
    <row r="124" spans="1:8" x14ac:dyDescent="0.2">
      <c r="A124" s="130" t="s">
        <v>541</v>
      </c>
      <c r="B124" s="131" t="s">
        <v>542</v>
      </c>
      <c r="C124" s="135" t="s">
        <v>543</v>
      </c>
      <c r="D124" s="132">
        <v>0</v>
      </c>
      <c r="E124" s="132">
        <v>0</v>
      </c>
      <c r="F124" s="132">
        <f t="shared" si="3"/>
        <v>0</v>
      </c>
      <c r="G124" s="137"/>
      <c r="H124" s="221"/>
    </row>
    <row r="125" spans="1:8" x14ac:dyDescent="0.2">
      <c r="A125" s="130" t="s">
        <v>544</v>
      </c>
      <c r="B125" s="131" t="s">
        <v>545</v>
      </c>
      <c r="C125" s="131" t="s">
        <v>546</v>
      </c>
      <c r="D125" s="132">
        <v>163224</v>
      </c>
      <c r="E125" s="138">
        <v>163224</v>
      </c>
      <c r="F125" s="138">
        <f t="shared" si="3"/>
        <v>0</v>
      </c>
      <c r="G125" s="137"/>
      <c r="H125" s="221"/>
    </row>
    <row r="126" spans="1:8" x14ac:dyDescent="0.2">
      <c r="A126" s="139"/>
      <c r="B126" s="140"/>
      <c r="C126" s="140"/>
      <c r="D126" s="141"/>
      <c r="E126" s="141"/>
      <c r="F126" s="142"/>
      <c r="G126" s="143"/>
      <c r="H126" s="221"/>
    </row>
    <row r="127" spans="1:8" ht="48" x14ac:dyDescent="0.2">
      <c r="A127" s="125" t="s">
        <v>547</v>
      </c>
      <c r="B127" s="126" t="s">
        <v>548</v>
      </c>
      <c r="C127" s="127" t="s">
        <v>549</v>
      </c>
      <c r="D127" s="128">
        <f>SUM(D128:D131)-1</f>
        <v>656422</v>
      </c>
      <c r="E127" s="128">
        <f>SUM(E128:E131)-1</f>
        <v>656422</v>
      </c>
      <c r="F127" s="128">
        <f>+E127-D127</f>
        <v>0</v>
      </c>
      <c r="G127" s="144" t="s">
        <v>550</v>
      </c>
      <c r="H127" s="221"/>
    </row>
    <row r="128" spans="1:8" x14ac:dyDescent="0.2">
      <c r="A128" s="130" t="s">
        <v>551</v>
      </c>
      <c r="B128" s="131" t="s">
        <v>552</v>
      </c>
      <c r="C128" s="131" t="s">
        <v>553</v>
      </c>
      <c r="D128" s="132">
        <v>23619</v>
      </c>
      <c r="E128" s="132">
        <v>23619</v>
      </c>
      <c r="F128" s="132">
        <f>+E128-D128</f>
        <v>0</v>
      </c>
      <c r="G128" s="145"/>
      <c r="H128" s="221"/>
    </row>
    <row r="129" spans="1:8" ht="108" x14ac:dyDescent="0.2">
      <c r="A129" s="134" t="s">
        <v>554</v>
      </c>
      <c r="B129" s="135" t="s">
        <v>555</v>
      </c>
      <c r="C129" s="135" t="s">
        <v>543</v>
      </c>
      <c r="D129" s="132">
        <v>50219</v>
      </c>
      <c r="E129" s="132">
        <f>43673+2235+457+626+834+2392+2</f>
        <v>50219</v>
      </c>
      <c r="F129" s="132">
        <f>+E129-D129</f>
        <v>0</v>
      </c>
      <c r="G129" s="137" t="s">
        <v>556</v>
      </c>
      <c r="H129" s="221"/>
    </row>
    <row r="130" spans="1:8" ht="36" x14ac:dyDescent="0.2">
      <c r="A130" s="130" t="s">
        <v>557</v>
      </c>
      <c r="B130" s="131" t="s">
        <v>558</v>
      </c>
      <c r="C130" s="135" t="s">
        <v>559</v>
      </c>
      <c r="D130" s="132">
        <v>444</v>
      </c>
      <c r="E130" s="132">
        <v>444</v>
      </c>
      <c r="F130" s="132">
        <f>+E130-D130</f>
        <v>0</v>
      </c>
      <c r="G130" s="137" t="s">
        <v>560</v>
      </c>
      <c r="H130" s="221"/>
    </row>
    <row r="131" spans="1:8" ht="36" x14ac:dyDescent="0.2">
      <c r="A131" s="130" t="s">
        <v>561</v>
      </c>
      <c r="B131" s="131" t="s">
        <v>562</v>
      </c>
      <c r="C131" s="131" t="s">
        <v>563</v>
      </c>
      <c r="D131" s="132">
        <v>582141</v>
      </c>
      <c r="E131" s="132">
        <v>582141</v>
      </c>
      <c r="F131" s="132">
        <f>+E131-D131</f>
        <v>0</v>
      </c>
      <c r="G131" s="136" t="s">
        <v>564</v>
      </c>
      <c r="H131" s="221"/>
    </row>
    <row r="132" spans="1:8" x14ac:dyDescent="0.2">
      <c r="A132" s="139"/>
      <c r="B132" s="140"/>
      <c r="C132" s="140"/>
      <c r="D132" s="141"/>
      <c r="E132" s="141"/>
      <c r="F132" s="142"/>
      <c r="G132" s="143"/>
      <c r="H132" s="221"/>
    </row>
    <row r="133" spans="1:8" ht="84" x14ac:dyDescent="0.2">
      <c r="A133" s="125" t="s">
        <v>565</v>
      </c>
      <c r="B133" s="127" t="s">
        <v>566</v>
      </c>
      <c r="C133" s="127" t="s">
        <v>543</v>
      </c>
      <c r="D133" s="128">
        <v>21273</v>
      </c>
      <c r="E133" s="128">
        <f>2398+27+18818+30</f>
        <v>21273</v>
      </c>
      <c r="F133" s="128">
        <f>+D133-E133</f>
        <v>0</v>
      </c>
      <c r="G133" s="146" t="s">
        <v>567</v>
      </c>
      <c r="H133" s="221"/>
    </row>
    <row r="134" spans="1:8" ht="13.5" thickBot="1" x14ac:dyDescent="0.25">
      <c r="A134" s="147" t="s">
        <v>568</v>
      </c>
      <c r="B134" s="148" t="s">
        <v>569</v>
      </c>
      <c r="C134" s="149"/>
      <c r="D134" s="150">
        <f>+D120+D127+D133</f>
        <v>5829997</v>
      </c>
      <c r="E134" s="150">
        <f>+E120+E127+E133</f>
        <v>5829997</v>
      </c>
      <c r="F134" s="150">
        <f>+E134-D134</f>
        <v>0</v>
      </c>
      <c r="G134" s="151"/>
      <c r="H134" s="221"/>
    </row>
    <row r="135" spans="1:8" ht="13.5" thickBot="1" x14ac:dyDescent="0.25">
      <c r="A135" s="152"/>
      <c r="B135" s="153"/>
      <c r="C135" s="153"/>
      <c r="D135" s="154"/>
      <c r="E135" s="154"/>
      <c r="F135" s="155"/>
      <c r="G135" s="152"/>
      <c r="H135" s="221"/>
    </row>
    <row r="136" spans="1:8" ht="36" x14ac:dyDescent="0.2">
      <c r="A136" s="156" t="s">
        <v>570</v>
      </c>
      <c r="B136" s="157" t="s">
        <v>571</v>
      </c>
      <c r="C136" s="157" t="s">
        <v>572</v>
      </c>
      <c r="D136" s="158">
        <v>2619280</v>
      </c>
      <c r="E136" s="158">
        <v>2619280</v>
      </c>
      <c r="F136" s="159">
        <f>+E136-D136</f>
        <v>0</v>
      </c>
      <c r="G136" s="160" t="s">
        <v>573</v>
      </c>
      <c r="H136" s="221"/>
    </row>
    <row r="137" spans="1:8" x14ac:dyDescent="0.2">
      <c r="A137" s="130"/>
      <c r="B137" s="140"/>
      <c r="C137" s="140"/>
      <c r="D137" s="141"/>
      <c r="E137" s="141"/>
      <c r="F137" s="142"/>
      <c r="G137" s="143"/>
      <c r="H137" s="221"/>
    </row>
    <row r="138" spans="1:8" ht="78" customHeight="1" x14ac:dyDescent="0.2">
      <c r="A138" s="161" t="s">
        <v>574</v>
      </c>
      <c r="B138" s="127" t="s">
        <v>575</v>
      </c>
      <c r="C138" s="127" t="s">
        <v>576</v>
      </c>
      <c r="D138" s="128">
        <v>134552</v>
      </c>
      <c r="E138" s="128">
        <f>24964+28843+24828+55917</f>
        <v>134552</v>
      </c>
      <c r="F138" s="128">
        <f>+E138-D138</f>
        <v>0</v>
      </c>
      <c r="G138" s="146" t="s">
        <v>577</v>
      </c>
      <c r="H138" s="221"/>
    </row>
    <row r="139" spans="1:8" x14ac:dyDescent="0.2">
      <c r="A139" s="130"/>
      <c r="B139" s="140"/>
      <c r="C139" s="140"/>
      <c r="D139" s="141"/>
      <c r="E139" s="141"/>
      <c r="F139" s="142"/>
      <c r="G139" s="143"/>
      <c r="H139" s="221"/>
    </row>
    <row r="140" spans="1:8" ht="108" x14ac:dyDescent="0.2">
      <c r="A140" s="125" t="s">
        <v>578</v>
      </c>
      <c r="B140" s="127" t="s">
        <v>579</v>
      </c>
      <c r="C140" s="127" t="s">
        <v>580</v>
      </c>
      <c r="D140" s="128">
        <f>SUM(D141:D143)+1</f>
        <v>2331904</v>
      </c>
      <c r="E140" s="128">
        <f>SUM(E141:E143)+1</f>
        <v>2331904</v>
      </c>
      <c r="F140" s="128">
        <f>+E140-D140</f>
        <v>0</v>
      </c>
      <c r="G140" s="146" t="s">
        <v>581</v>
      </c>
      <c r="H140" s="221"/>
    </row>
    <row r="141" spans="1:8" ht="36" x14ac:dyDescent="0.2">
      <c r="A141" s="134" t="s">
        <v>582</v>
      </c>
      <c r="B141" s="131" t="s">
        <v>583</v>
      </c>
      <c r="C141" s="135" t="s">
        <v>584</v>
      </c>
      <c r="D141" s="132">
        <v>2303873</v>
      </c>
      <c r="E141" s="132">
        <f>+D141</f>
        <v>2303873</v>
      </c>
      <c r="F141" s="132">
        <f>+E141-D141</f>
        <v>0</v>
      </c>
      <c r="G141" s="137" t="s">
        <v>585</v>
      </c>
      <c r="H141" s="221"/>
    </row>
    <row r="142" spans="1:8" ht="96" x14ac:dyDescent="0.2">
      <c r="A142" s="130" t="s">
        <v>586</v>
      </c>
      <c r="B142" s="131" t="s">
        <v>587</v>
      </c>
      <c r="C142" s="135" t="s">
        <v>588</v>
      </c>
      <c r="D142" s="132">
        <v>15575</v>
      </c>
      <c r="E142" s="132">
        <f>4362+11212+1</f>
        <v>15575</v>
      </c>
      <c r="F142" s="132">
        <f>+E142-D142</f>
        <v>0</v>
      </c>
      <c r="G142" s="137" t="s">
        <v>589</v>
      </c>
      <c r="H142" s="221"/>
    </row>
    <row r="143" spans="1:8" x14ac:dyDescent="0.2">
      <c r="A143" s="130" t="s">
        <v>590</v>
      </c>
      <c r="B143" s="131" t="s">
        <v>591</v>
      </c>
      <c r="C143" s="131" t="s">
        <v>546</v>
      </c>
      <c r="D143" s="132">
        <v>12455</v>
      </c>
      <c r="E143" s="132">
        <f>+D143</f>
        <v>12455</v>
      </c>
      <c r="F143" s="132">
        <f>+E143-D143</f>
        <v>0</v>
      </c>
      <c r="G143" s="162"/>
      <c r="H143" s="221"/>
    </row>
    <row r="144" spans="1:8" x14ac:dyDescent="0.2">
      <c r="A144" s="139"/>
      <c r="B144" s="140"/>
      <c r="C144" s="140"/>
      <c r="D144" s="141"/>
      <c r="E144" s="141"/>
      <c r="F144" s="142"/>
      <c r="G144" s="143"/>
      <c r="H144" s="221"/>
    </row>
    <row r="145" spans="1:8" ht="84" x14ac:dyDescent="0.2">
      <c r="A145" s="125" t="s">
        <v>592</v>
      </c>
      <c r="B145" s="127" t="s">
        <v>593</v>
      </c>
      <c r="C145" s="127" t="s">
        <v>594</v>
      </c>
      <c r="D145" s="128">
        <f>SUM(D146:D152)+1</f>
        <v>665431</v>
      </c>
      <c r="E145" s="128">
        <f>SUM(E146:E152)+1</f>
        <v>665431</v>
      </c>
      <c r="F145" s="128">
        <f t="shared" ref="F145:F152" si="4">+E145-D145</f>
        <v>0</v>
      </c>
      <c r="G145" s="146" t="s">
        <v>595</v>
      </c>
      <c r="H145" s="221"/>
    </row>
    <row r="146" spans="1:8" ht="36" x14ac:dyDescent="0.2">
      <c r="A146" s="134" t="s">
        <v>582</v>
      </c>
      <c r="B146" s="131" t="s">
        <v>596</v>
      </c>
      <c r="C146" s="131" t="s">
        <v>584</v>
      </c>
      <c r="D146" s="132">
        <v>523631</v>
      </c>
      <c r="E146" s="132">
        <v>523631</v>
      </c>
      <c r="F146" s="132">
        <f t="shared" si="4"/>
        <v>0</v>
      </c>
      <c r="G146" s="137" t="s">
        <v>597</v>
      </c>
      <c r="H146" s="221"/>
    </row>
    <row r="147" spans="1:8" ht="132" x14ac:dyDescent="0.2">
      <c r="A147" s="130" t="s">
        <v>598</v>
      </c>
      <c r="B147" s="135" t="s">
        <v>599</v>
      </c>
      <c r="C147" s="135" t="s">
        <v>600</v>
      </c>
      <c r="D147" s="163">
        <f>36067-2</f>
        <v>36065</v>
      </c>
      <c r="E147" s="163">
        <f>36067-2</f>
        <v>36065</v>
      </c>
      <c r="F147" s="132">
        <f t="shared" si="4"/>
        <v>0</v>
      </c>
      <c r="G147" s="136" t="s">
        <v>601</v>
      </c>
      <c r="H147" s="221"/>
    </row>
    <row r="148" spans="1:8" ht="156" x14ac:dyDescent="0.2">
      <c r="A148" s="134" t="s">
        <v>602</v>
      </c>
      <c r="B148" s="135" t="s">
        <v>603</v>
      </c>
      <c r="C148" s="135" t="s">
        <v>600</v>
      </c>
      <c r="D148" s="132">
        <f>102+51117+7</f>
        <v>51226</v>
      </c>
      <c r="E148" s="132">
        <f>102+7+51117</f>
        <v>51226</v>
      </c>
      <c r="F148" s="164">
        <f t="shared" si="4"/>
        <v>0</v>
      </c>
      <c r="G148" s="137" t="s">
        <v>604</v>
      </c>
      <c r="H148" s="221"/>
    </row>
    <row r="149" spans="1:8" x14ac:dyDescent="0.2">
      <c r="A149" s="165" t="s">
        <v>605</v>
      </c>
      <c r="B149" s="135" t="s">
        <v>606</v>
      </c>
      <c r="C149" s="135" t="s">
        <v>600</v>
      </c>
      <c r="D149" s="132">
        <v>0</v>
      </c>
      <c r="E149" s="132">
        <v>0</v>
      </c>
      <c r="F149" s="164">
        <f>+D149-E149</f>
        <v>0</v>
      </c>
      <c r="G149" s="166"/>
      <c r="H149" s="221"/>
    </row>
    <row r="150" spans="1:8" ht="132" x14ac:dyDescent="0.2">
      <c r="A150" s="130" t="s">
        <v>607</v>
      </c>
      <c r="B150" s="135" t="s">
        <v>608</v>
      </c>
      <c r="C150" s="135" t="s">
        <v>600</v>
      </c>
      <c r="D150" s="163">
        <f>24805</f>
        <v>24805</v>
      </c>
      <c r="E150" s="163">
        <f>+D150</f>
        <v>24805</v>
      </c>
      <c r="F150" s="164">
        <f t="shared" si="4"/>
        <v>0</v>
      </c>
      <c r="G150" s="136" t="s">
        <v>609</v>
      </c>
      <c r="H150" s="221"/>
    </row>
    <row r="151" spans="1:8" ht="144" x14ac:dyDescent="0.2">
      <c r="A151" s="134" t="s">
        <v>610</v>
      </c>
      <c r="B151" s="135" t="s">
        <v>611</v>
      </c>
      <c r="C151" s="135" t="s">
        <v>600</v>
      </c>
      <c r="D151" s="132">
        <v>14662</v>
      </c>
      <c r="E151" s="132">
        <f>+D151</f>
        <v>14662</v>
      </c>
      <c r="F151" s="164">
        <f t="shared" si="4"/>
        <v>0</v>
      </c>
      <c r="G151" s="137" t="s">
        <v>612</v>
      </c>
      <c r="H151" s="221"/>
    </row>
    <row r="152" spans="1:8" ht="180" x14ac:dyDescent="0.2">
      <c r="A152" s="134" t="s">
        <v>613</v>
      </c>
      <c r="B152" s="135" t="s">
        <v>614</v>
      </c>
      <c r="C152" s="135" t="s">
        <v>615</v>
      </c>
      <c r="D152" s="132">
        <v>15041</v>
      </c>
      <c r="E152" s="132">
        <f>8685+3387+2969</f>
        <v>15041</v>
      </c>
      <c r="F152" s="164">
        <f t="shared" si="4"/>
        <v>0</v>
      </c>
      <c r="G152" s="137" t="s">
        <v>616</v>
      </c>
      <c r="H152" s="221"/>
    </row>
    <row r="153" spans="1:8" x14ac:dyDescent="0.2">
      <c r="A153" s="139"/>
      <c r="B153" s="140"/>
      <c r="C153" s="140"/>
      <c r="D153" s="167"/>
      <c r="E153" s="141"/>
      <c r="F153" s="142"/>
      <c r="G153" s="143"/>
      <c r="H153" s="221"/>
    </row>
    <row r="154" spans="1:8" ht="240" x14ac:dyDescent="0.2">
      <c r="A154" s="125" t="s">
        <v>617</v>
      </c>
      <c r="B154" s="127" t="s">
        <v>618</v>
      </c>
      <c r="C154" s="127" t="s">
        <v>619</v>
      </c>
      <c r="D154" s="128">
        <v>78830</v>
      </c>
      <c r="E154" s="128">
        <f>29002+9379+295+19853+818+17563+1920</f>
        <v>78830</v>
      </c>
      <c r="F154" s="128">
        <f>+E154-D154</f>
        <v>0</v>
      </c>
      <c r="G154" s="146" t="s">
        <v>620</v>
      </c>
      <c r="H154" s="221"/>
    </row>
    <row r="155" spans="1:8" ht="13.5" thickBot="1" x14ac:dyDescent="0.25">
      <c r="A155" s="147" t="s">
        <v>621</v>
      </c>
      <c r="B155" s="149" t="s">
        <v>622</v>
      </c>
      <c r="C155" s="149"/>
      <c r="D155" s="150">
        <f>+D136+D138+D140+D145+D154</f>
        <v>5829997</v>
      </c>
      <c r="E155" s="150">
        <f>+E136+E138+E140+E145+E154</f>
        <v>5829997</v>
      </c>
      <c r="F155" s="150">
        <f>+E155-D155</f>
        <v>0</v>
      </c>
      <c r="G155" s="151"/>
      <c r="H155" s="221"/>
    </row>
    <row r="156" spans="1:8" x14ac:dyDescent="0.2">
      <c r="A156" s="168"/>
      <c r="B156" s="168"/>
      <c r="C156" s="168"/>
      <c r="D156" s="168"/>
      <c r="E156" s="168"/>
      <c r="F156" s="168"/>
      <c r="G156" s="168"/>
      <c r="H156" s="221"/>
    </row>
    <row r="157" spans="1:8" x14ac:dyDescent="0.2">
      <c r="A157" s="168"/>
      <c r="B157" s="168"/>
      <c r="C157" s="168"/>
      <c r="D157" s="168"/>
      <c r="E157" s="168"/>
      <c r="F157" s="168"/>
      <c r="G157" s="168"/>
      <c r="H157" s="221"/>
    </row>
    <row r="158" spans="1:8" ht="15.75" x14ac:dyDescent="0.25">
      <c r="A158" s="115" t="s">
        <v>623</v>
      </c>
      <c r="B158" s="115"/>
      <c r="C158" s="115"/>
      <c r="D158" s="115"/>
      <c r="E158" s="115"/>
      <c r="F158" s="115"/>
      <c r="G158" s="115"/>
      <c r="H158" s="221"/>
    </row>
    <row r="159" spans="1:8" x14ac:dyDescent="0.2">
      <c r="A159" s="119"/>
      <c r="B159" s="169"/>
      <c r="C159" s="170"/>
      <c r="D159" s="171"/>
      <c r="E159" s="171"/>
      <c r="F159" s="117"/>
      <c r="G159" s="117"/>
      <c r="H159" s="221"/>
    </row>
    <row r="160" spans="1:8" x14ac:dyDescent="0.2">
      <c r="A160" s="172" t="s">
        <v>521</v>
      </c>
      <c r="B160" s="172"/>
      <c r="C160" s="172"/>
      <c r="D160" s="172"/>
      <c r="E160" s="172"/>
      <c r="F160" s="172"/>
      <c r="G160" s="172"/>
      <c r="H160" s="221"/>
    </row>
    <row r="161" spans="1:8" ht="13.5" thickBot="1" x14ac:dyDescent="0.25">
      <c r="A161" s="173"/>
      <c r="B161" s="174"/>
      <c r="C161" s="175"/>
      <c r="D161" s="176"/>
      <c r="E161" s="176"/>
      <c r="F161" s="177"/>
      <c r="G161" s="178"/>
      <c r="H161" s="221"/>
    </row>
    <row r="162" spans="1:8" ht="48.75" thickBot="1" x14ac:dyDescent="0.25">
      <c r="A162" s="179" t="s">
        <v>624</v>
      </c>
      <c r="B162" s="123" t="s">
        <v>523</v>
      </c>
      <c r="C162" s="123" t="s">
        <v>524</v>
      </c>
      <c r="D162" s="123" t="s">
        <v>525</v>
      </c>
      <c r="E162" s="123" t="s">
        <v>524</v>
      </c>
      <c r="F162" s="123" t="s">
        <v>526</v>
      </c>
      <c r="G162" s="124" t="s">
        <v>527</v>
      </c>
      <c r="H162" s="221"/>
    </row>
    <row r="163" spans="1:8" ht="24" x14ac:dyDescent="0.2">
      <c r="A163" s="180" t="s">
        <v>625</v>
      </c>
      <c r="B163" s="181" t="s">
        <v>626</v>
      </c>
      <c r="C163" s="182"/>
      <c r="D163" s="183">
        <f>+D164+D165+1</f>
        <v>1670375</v>
      </c>
      <c r="E163" s="183">
        <f>SUM(E164:E165)+1</f>
        <v>1670375</v>
      </c>
      <c r="F163" s="183">
        <f>+E163-D163</f>
        <v>0</v>
      </c>
      <c r="G163" s="184"/>
      <c r="H163" s="221"/>
    </row>
    <row r="164" spans="1:8" ht="36" x14ac:dyDescent="0.2">
      <c r="A164" s="134" t="s">
        <v>627</v>
      </c>
      <c r="B164" s="135" t="s">
        <v>628</v>
      </c>
      <c r="C164" s="135" t="s">
        <v>629</v>
      </c>
      <c r="D164" s="132">
        <f>31632+1329300</f>
        <v>1360932</v>
      </c>
      <c r="E164" s="132">
        <f>+D164</f>
        <v>1360932</v>
      </c>
      <c r="F164" s="132">
        <f>+E164-D164</f>
        <v>0</v>
      </c>
      <c r="G164" s="162"/>
      <c r="H164" s="221"/>
    </row>
    <row r="165" spans="1:8" ht="204" x14ac:dyDescent="0.2">
      <c r="A165" s="134" t="s">
        <v>630</v>
      </c>
      <c r="B165" s="135" t="s">
        <v>631</v>
      </c>
      <c r="C165" s="135" t="s">
        <v>632</v>
      </c>
      <c r="D165" s="132">
        <f>234+281038+28171-1</f>
        <v>309442</v>
      </c>
      <c r="E165" s="132">
        <f>234+281038+28171-1</f>
        <v>309442</v>
      </c>
      <c r="F165" s="132">
        <f>+E165-D165</f>
        <v>0</v>
      </c>
      <c r="G165" s="137" t="s">
        <v>633</v>
      </c>
      <c r="H165" s="221"/>
    </row>
    <row r="166" spans="1:8" x14ac:dyDescent="0.2">
      <c r="A166" s="139"/>
      <c r="B166" s="140"/>
      <c r="C166" s="185"/>
      <c r="D166" s="141"/>
      <c r="E166" s="141"/>
      <c r="F166" s="142"/>
      <c r="G166" s="186"/>
      <c r="H166" s="221"/>
    </row>
    <row r="167" spans="1:8" ht="84" x14ac:dyDescent="0.2">
      <c r="A167" s="125" t="s">
        <v>634</v>
      </c>
      <c r="B167" s="126" t="s">
        <v>635</v>
      </c>
      <c r="C167" s="127"/>
      <c r="D167" s="128">
        <f>SUM(D168:D174)</f>
        <v>1255330</v>
      </c>
      <c r="E167" s="128">
        <f>SUM(E168:E174)</f>
        <v>1255330</v>
      </c>
      <c r="F167" s="128">
        <f t="shared" ref="F167:F174" si="5">+E167-D167</f>
        <v>0</v>
      </c>
      <c r="G167" s="187" t="s">
        <v>636</v>
      </c>
      <c r="H167" s="221"/>
    </row>
    <row r="168" spans="1:8" ht="36" x14ac:dyDescent="0.2">
      <c r="A168" s="130" t="s">
        <v>637</v>
      </c>
      <c r="B168" s="135" t="s">
        <v>638</v>
      </c>
      <c r="C168" s="135" t="s">
        <v>639</v>
      </c>
      <c r="D168" s="132">
        <v>396120</v>
      </c>
      <c r="E168" s="132">
        <f>+D168</f>
        <v>396120</v>
      </c>
      <c r="F168" s="138">
        <f t="shared" si="5"/>
        <v>0</v>
      </c>
      <c r="G168" s="137" t="s">
        <v>640</v>
      </c>
      <c r="H168" s="221"/>
    </row>
    <row r="169" spans="1:8" ht="84" x14ac:dyDescent="0.2">
      <c r="A169" s="134" t="s">
        <v>641</v>
      </c>
      <c r="B169" s="131" t="s">
        <v>642</v>
      </c>
      <c r="C169" s="135" t="s">
        <v>643</v>
      </c>
      <c r="D169" s="132">
        <v>301251</v>
      </c>
      <c r="E169" s="132">
        <f>185544+53978+39419+22310</f>
        <v>301251</v>
      </c>
      <c r="F169" s="132">
        <f t="shared" si="5"/>
        <v>0</v>
      </c>
      <c r="G169" s="137" t="s">
        <v>644</v>
      </c>
      <c r="H169" s="221"/>
    </row>
    <row r="170" spans="1:8" ht="24" x14ac:dyDescent="0.2">
      <c r="A170" s="134" t="s">
        <v>645</v>
      </c>
      <c r="B170" s="131" t="s">
        <v>646</v>
      </c>
      <c r="C170" s="135" t="s">
        <v>647</v>
      </c>
      <c r="D170" s="132">
        <v>397597</v>
      </c>
      <c r="E170" s="132">
        <f>+D170</f>
        <v>397597</v>
      </c>
      <c r="F170" s="132">
        <f t="shared" si="5"/>
        <v>0</v>
      </c>
      <c r="G170" s="188"/>
      <c r="H170" s="221"/>
    </row>
    <row r="171" spans="1:8" ht="168" x14ac:dyDescent="0.2">
      <c r="A171" s="134" t="s">
        <v>648</v>
      </c>
      <c r="B171" s="131" t="s">
        <v>649</v>
      </c>
      <c r="C171" s="135" t="s">
        <v>650</v>
      </c>
      <c r="D171" s="132">
        <v>113161</v>
      </c>
      <c r="E171" s="132">
        <f>277+65225+21697+15324+3490+5492+778+877+1</f>
        <v>113161</v>
      </c>
      <c r="F171" s="164">
        <f t="shared" si="5"/>
        <v>0</v>
      </c>
      <c r="G171" s="136" t="s">
        <v>651</v>
      </c>
      <c r="H171" s="221"/>
    </row>
    <row r="172" spans="1:8" ht="84" x14ac:dyDescent="0.2">
      <c r="A172" s="130" t="s">
        <v>652</v>
      </c>
      <c r="B172" s="131" t="s">
        <v>653</v>
      </c>
      <c r="C172" s="135" t="s">
        <v>654</v>
      </c>
      <c r="D172" s="132">
        <v>1646</v>
      </c>
      <c r="E172" s="132">
        <f>+D172</f>
        <v>1646</v>
      </c>
      <c r="F172" s="132">
        <f t="shared" si="5"/>
        <v>0</v>
      </c>
      <c r="G172" s="137" t="s">
        <v>655</v>
      </c>
      <c r="H172" s="221"/>
    </row>
    <row r="173" spans="1:8" ht="132" x14ac:dyDescent="0.2">
      <c r="A173" s="130" t="s">
        <v>656</v>
      </c>
      <c r="B173" s="131" t="s">
        <v>657</v>
      </c>
      <c r="C173" s="135" t="s">
        <v>650</v>
      </c>
      <c r="D173" s="132">
        <v>36609</v>
      </c>
      <c r="E173" s="132">
        <f>9293+2488+24828</f>
        <v>36609</v>
      </c>
      <c r="F173" s="132">
        <f t="shared" si="5"/>
        <v>0</v>
      </c>
      <c r="G173" s="137" t="s">
        <v>658</v>
      </c>
      <c r="H173" s="221"/>
    </row>
    <row r="174" spans="1:8" ht="84" x14ac:dyDescent="0.2">
      <c r="A174" s="130" t="s">
        <v>659</v>
      </c>
      <c r="B174" s="131" t="s">
        <v>660</v>
      </c>
      <c r="C174" s="135" t="s">
        <v>654</v>
      </c>
      <c r="D174" s="164">
        <v>8946</v>
      </c>
      <c r="E174" s="164">
        <f>2511+6435</f>
        <v>8946</v>
      </c>
      <c r="F174" s="132">
        <f t="shared" si="5"/>
        <v>0</v>
      </c>
      <c r="G174" s="137" t="s">
        <v>661</v>
      </c>
      <c r="H174" s="221"/>
    </row>
    <row r="175" spans="1:8" x14ac:dyDescent="0.2">
      <c r="A175" s="139"/>
      <c r="B175" s="140"/>
      <c r="C175" s="185"/>
      <c r="D175" s="141"/>
      <c r="E175" s="141"/>
      <c r="F175" s="142"/>
      <c r="G175" s="186"/>
      <c r="H175" s="221"/>
    </row>
    <row r="176" spans="1:8" ht="132" x14ac:dyDescent="0.2">
      <c r="A176" s="161" t="s">
        <v>662</v>
      </c>
      <c r="B176" s="126" t="s">
        <v>663</v>
      </c>
      <c r="C176" s="127" t="s">
        <v>664</v>
      </c>
      <c r="D176" s="128">
        <v>21059</v>
      </c>
      <c r="E176" s="128">
        <f>67+3312+4729+743+229+7475+4504</f>
        <v>21059</v>
      </c>
      <c r="F176" s="128">
        <f>+E176-D176</f>
        <v>0</v>
      </c>
      <c r="G176" s="187" t="s">
        <v>665</v>
      </c>
      <c r="H176" s="221"/>
    </row>
    <row r="177" spans="1:8" x14ac:dyDescent="0.2">
      <c r="A177" s="139"/>
      <c r="B177" s="140"/>
      <c r="C177" s="185"/>
      <c r="D177" s="141"/>
      <c r="E177" s="141"/>
      <c r="F177" s="142"/>
      <c r="G177" s="186"/>
      <c r="H177" s="221"/>
    </row>
    <row r="178" spans="1:8" ht="72" x14ac:dyDescent="0.2">
      <c r="A178" s="161" t="s">
        <v>666</v>
      </c>
      <c r="B178" s="126" t="s">
        <v>667</v>
      </c>
      <c r="C178" s="127" t="s">
        <v>664</v>
      </c>
      <c r="D178" s="128">
        <v>64980</v>
      </c>
      <c r="E178" s="128">
        <f>+D178</f>
        <v>64980</v>
      </c>
      <c r="F178" s="128">
        <f>+E178-D178</f>
        <v>0</v>
      </c>
      <c r="G178" s="187" t="s">
        <v>668</v>
      </c>
      <c r="H178" s="221"/>
    </row>
    <row r="179" spans="1:8" x14ac:dyDescent="0.2">
      <c r="A179" s="139"/>
      <c r="B179" s="140"/>
      <c r="C179" s="185"/>
      <c r="D179" s="141"/>
      <c r="E179" s="141"/>
      <c r="F179" s="142"/>
      <c r="G179" s="186"/>
      <c r="H179" s="221"/>
    </row>
    <row r="180" spans="1:8" x14ac:dyDescent="0.2">
      <c r="A180" s="161" t="s">
        <v>669</v>
      </c>
      <c r="B180" s="126" t="s">
        <v>558</v>
      </c>
      <c r="C180" s="127"/>
      <c r="D180" s="128">
        <f>+D176+D163</f>
        <v>1691434</v>
      </c>
      <c r="E180" s="128">
        <f>+E176+E163</f>
        <v>1691434</v>
      </c>
      <c r="F180" s="128">
        <f>+E180-D180</f>
        <v>0</v>
      </c>
      <c r="G180" s="189"/>
      <c r="H180" s="221"/>
    </row>
    <row r="181" spans="1:8" x14ac:dyDescent="0.2">
      <c r="A181" s="190"/>
      <c r="B181" s="140"/>
      <c r="C181" s="185"/>
      <c r="D181" s="191"/>
      <c r="E181" s="191"/>
      <c r="F181" s="192"/>
      <c r="G181" s="193"/>
      <c r="H181" s="221"/>
    </row>
    <row r="182" spans="1:8" x14ac:dyDescent="0.2">
      <c r="A182" s="161" t="s">
        <v>670</v>
      </c>
      <c r="B182" s="126" t="s">
        <v>671</v>
      </c>
      <c r="C182" s="127"/>
      <c r="D182" s="128">
        <f>+D178+D167</f>
        <v>1320310</v>
      </c>
      <c r="E182" s="128">
        <f>+E178+E167</f>
        <v>1320310</v>
      </c>
      <c r="F182" s="128">
        <f>+E182-D182</f>
        <v>0</v>
      </c>
      <c r="G182" s="189"/>
      <c r="H182" s="221"/>
    </row>
    <row r="183" spans="1:8" x14ac:dyDescent="0.2">
      <c r="A183" s="139"/>
      <c r="B183" s="140"/>
      <c r="C183" s="185"/>
      <c r="D183" s="141"/>
      <c r="E183" s="141"/>
      <c r="F183" s="142"/>
      <c r="G183" s="186"/>
      <c r="H183" s="221"/>
    </row>
    <row r="184" spans="1:8" ht="24" x14ac:dyDescent="0.2">
      <c r="A184" s="125" t="s">
        <v>672</v>
      </c>
      <c r="B184" s="126" t="s">
        <v>673</v>
      </c>
      <c r="C184" s="127"/>
      <c r="D184" s="128">
        <f>+D180-D182</f>
        <v>371124</v>
      </c>
      <c r="E184" s="128">
        <f>+E180-E182</f>
        <v>371124</v>
      </c>
      <c r="F184" s="128">
        <f>+E184-D184</f>
        <v>0</v>
      </c>
      <c r="G184" s="129"/>
      <c r="H184" s="221"/>
    </row>
    <row r="185" spans="1:8" x14ac:dyDescent="0.2">
      <c r="A185" s="139"/>
      <c r="B185" s="140"/>
      <c r="C185" s="185"/>
      <c r="D185" s="141"/>
      <c r="E185" s="141"/>
      <c r="F185" s="142"/>
      <c r="G185" s="186"/>
      <c r="H185" s="221"/>
    </row>
    <row r="186" spans="1:8" x14ac:dyDescent="0.2">
      <c r="A186" s="161" t="s">
        <v>674</v>
      </c>
      <c r="B186" s="126" t="s">
        <v>675</v>
      </c>
      <c r="C186" s="127"/>
      <c r="D186" s="128">
        <v>66518</v>
      </c>
      <c r="E186" s="128">
        <f>+D186</f>
        <v>66518</v>
      </c>
      <c r="F186" s="128">
        <f>+E186-D186</f>
        <v>0</v>
      </c>
      <c r="G186" s="129"/>
      <c r="H186" s="221"/>
    </row>
    <row r="187" spans="1:8" x14ac:dyDescent="0.2">
      <c r="A187" s="139"/>
      <c r="B187" s="140"/>
      <c r="C187" s="185"/>
      <c r="D187" s="141"/>
      <c r="E187" s="141"/>
      <c r="F187" s="142"/>
      <c r="G187" s="186"/>
      <c r="H187" s="221"/>
    </row>
    <row r="188" spans="1:8" ht="24.75" thickBot="1" x14ac:dyDescent="0.25">
      <c r="A188" s="194" t="s">
        <v>676</v>
      </c>
      <c r="B188" s="195" t="s">
        <v>677</v>
      </c>
      <c r="C188" s="196"/>
      <c r="D188" s="197">
        <f>+D184-D186</f>
        <v>304606</v>
      </c>
      <c r="E188" s="197">
        <f>+E184-E186</f>
        <v>304606</v>
      </c>
      <c r="F188" s="197">
        <f>+E188-D188</f>
        <v>0</v>
      </c>
      <c r="G188" s="198"/>
      <c r="H188" s="221"/>
    </row>
    <row r="192" spans="1:8" ht="15.75" x14ac:dyDescent="0.25">
      <c r="A192" s="438" t="s">
        <v>704</v>
      </c>
      <c r="B192" s="438"/>
      <c r="C192" s="438"/>
      <c r="D192" s="438"/>
      <c r="E192" s="438"/>
      <c r="F192" s="438"/>
      <c r="G192" s="438"/>
      <c r="H192" s="221"/>
    </row>
    <row r="193" spans="1:8" x14ac:dyDescent="0.2">
      <c r="A193" s="168"/>
      <c r="B193" s="168"/>
      <c r="C193" s="168"/>
      <c r="D193" s="168"/>
      <c r="E193" s="168"/>
      <c r="F193" s="168"/>
      <c r="G193" s="168"/>
      <c r="H193" s="221"/>
    </row>
    <row r="194" spans="1:8" x14ac:dyDescent="0.2">
      <c r="A194" s="439" t="s">
        <v>521</v>
      </c>
      <c r="B194" s="439"/>
      <c r="C194" s="439"/>
      <c r="D194" s="439"/>
      <c r="E194" s="439"/>
      <c r="F194" s="439"/>
      <c r="G194" s="439"/>
      <c r="H194" s="221"/>
    </row>
    <row r="195" spans="1:8" ht="13.5" thickBot="1" x14ac:dyDescent="0.25">
      <c r="A195" s="168"/>
      <c r="B195" s="168"/>
      <c r="C195" s="168"/>
      <c r="D195" s="168"/>
      <c r="E195" s="168"/>
      <c r="F195" s="168"/>
      <c r="G195" s="168"/>
      <c r="H195" s="221"/>
    </row>
    <row r="196" spans="1:8" ht="48.75" thickBot="1" x14ac:dyDescent="0.25">
      <c r="A196" s="199" t="s">
        <v>742</v>
      </c>
      <c r="B196" s="200" t="s">
        <v>523</v>
      </c>
      <c r="C196" s="200" t="s">
        <v>680</v>
      </c>
      <c r="D196" s="200" t="s">
        <v>681</v>
      </c>
      <c r="E196" s="200" t="s">
        <v>682</v>
      </c>
      <c r="F196" s="201" t="s">
        <v>683</v>
      </c>
      <c r="G196" s="202" t="s">
        <v>527</v>
      </c>
      <c r="H196" s="221"/>
    </row>
    <row r="197" spans="1:8" ht="48" x14ac:dyDescent="0.2">
      <c r="A197" s="203" t="s">
        <v>684</v>
      </c>
      <c r="B197" s="204" t="s">
        <v>538</v>
      </c>
      <c r="C197" s="126"/>
      <c r="D197" s="128">
        <v>542352</v>
      </c>
      <c r="E197" s="128">
        <f>612814-70461-1</f>
        <v>542352</v>
      </c>
      <c r="F197" s="128">
        <f>+E197-D197</f>
        <v>0</v>
      </c>
      <c r="G197" s="205" t="s">
        <v>756</v>
      </c>
      <c r="H197" s="221"/>
    </row>
    <row r="198" spans="1:8" x14ac:dyDescent="0.2">
      <c r="A198" s="206"/>
      <c r="B198" s="207"/>
      <c r="C198" s="207"/>
      <c r="D198" s="207"/>
      <c r="E198" s="207"/>
      <c r="F198" s="207"/>
      <c r="G198" s="208"/>
      <c r="H198" s="221"/>
    </row>
    <row r="199" spans="1:8" ht="36" x14ac:dyDescent="0.2">
      <c r="A199" s="203" t="s">
        <v>686</v>
      </c>
      <c r="B199" s="204" t="s">
        <v>687</v>
      </c>
      <c r="C199" s="126"/>
      <c r="D199" s="442">
        <v>-149710</v>
      </c>
      <c r="E199" s="442">
        <f>+D199</f>
        <v>-149710</v>
      </c>
      <c r="F199" s="128">
        <f>+E199-D199</f>
        <v>0</v>
      </c>
      <c r="G199" s="209" t="s">
        <v>757</v>
      </c>
      <c r="H199" s="221"/>
    </row>
    <row r="200" spans="1:8" x14ac:dyDescent="0.2">
      <c r="A200" s="206"/>
      <c r="B200" s="207"/>
      <c r="C200" s="207"/>
      <c r="D200" s="207"/>
      <c r="E200" s="207"/>
      <c r="F200" s="207"/>
      <c r="G200" s="208"/>
      <c r="H200" s="221"/>
    </row>
    <row r="201" spans="1:8" ht="48" x14ac:dyDescent="0.2">
      <c r="A201" s="203" t="s">
        <v>689</v>
      </c>
      <c r="B201" s="204" t="s">
        <v>555</v>
      </c>
      <c r="C201" s="126"/>
      <c r="D201" s="128">
        <v>-528225</v>
      </c>
      <c r="E201" s="128">
        <f>-457764-70461</f>
        <v>-528225</v>
      </c>
      <c r="F201" s="128">
        <f>+E201-D201</f>
        <v>0</v>
      </c>
      <c r="G201" s="209" t="s">
        <v>758</v>
      </c>
      <c r="H201" s="221"/>
    </row>
    <row r="202" spans="1:8" x14ac:dyDescent="0.2">
      <c r="A202" s="206"/>
      <c r="B202" s="207"/>
      <c r="C202" s="207"/>
      <c r="D202" s="207"/>
      <c r="E202" s="207"/>
      <c r="F202" s="207"/>
      <c r="G202" s="208"/>
      <c r="H202" s="221"/>
    </row>
    <row r="203" spans="1:8" ht="36" x14ac:dyDescent="0.2">
      <c r="A203" s="203" t="s">
        <v>691</v>
      </c>
      <c r="B203" s="204" t="s">
        <v>692</v>
      </c>
      <c r="C203" s="126"/>
      <c r="D203" s="128">
        <f>+D197+D199+D201</f>
        <v>-135583</v>
      </c>
      <c r="E203" s="128">
        <f>+E197+E199+E201</f>
        <v>-135583</v>
      </c>
      <c r="F203" s="128">
        <f>+E203-D203</f>
        <v>0</v>
      </c>
      <c r="G203" s="210"/>
      <c r="H203" s="221"/>
    </row>
    <row r="204" spans="1:8" x14ac:dyDescent="0.2">
      <c r="A204" s="206"/>
      <c r="B204" s="207"/>
      <c r="C204" s="207"/>
      <c r="D204" s="207"/>
      <c r="E204" s="207"/>
      <c r="F204" s="207"/>
      <c r="G204" s="208"/>
      <c r="H204" s="221"/>
    </row>
    <row r="205" spans="1:8" ht="24" x14ac:dyDescent="0.2">
      <c r="A205" s="203" t="s">
        <v>432</v>
      </c>
      <c r="B205" s="204" t="s">
        <v>693</v>
      </c>
      <c r="C205" s="126"/>
      <c r="D205" s="442">
        <v>582141</v>
      </c>
      <c r="E205" s="442">
        <f>+D205</f>
        <v>582141</v>
      </c>
      <c r="F205" s="128">
        <f>+E205-D205</f>
        <v>0</v>
      </c>
      <c r="G205" s="210"/>
      <c r="H205" s="221"/>
    </row>
    <row r="206" spans="1:8" x14ac:dyDescent="0.2">
      <c r="A206" s="206"/>
      <c r="B206" s="207"/>
      <c r="C206" s="207"/>
      <c r="D206" s="211"/>
      <c r="E206" s="211"/>
      <c r="F206" s="207"/>
      <c r="G206" s="208"/>
      <c r="H206" s="221"/>
    </row>
    <row r="207" spans="1:8" ht="36.75" thickBot="1" x14ac:dyDescent="0.25">
      <c r="A207" s="212" t="s">
        <v>694</v>
      </c>
      <c r="B207" s="213" t="s">
        <v>695</v>
      </c>
      <c r="C207" s="213"/>
      <c r="D207" s="214">
        <f>+D203+D205</f>
        <v>446558</v>
      </c>
      <c r="E207" s="214">
        <f>+E203+E205</f>
        <v>446558</v>
      </c>
      <c r="F207" s="214">
        <f>+E207-D207</f>
        <v>0</v>
      </c>
      <c r="G207" s="215"/>
      <c r="H207" s="221"/>
    </row>
    <row r="210" spans="1:8" ht="15.75" x14ac:dyDescent="0.25">
      <c r="A210" s="438" t="s">
        <v>678</v>
      </c>
      <c r="B210" s="438"/>
      <c r="C210" s="438"/>
      <c r="D210" s="438"/>
      <c r="E210" s="438"/>
      <c r="F210" s="438"/>
      <c r="G210" s="438"/>
      <c r="H210" s="221"/>
    </row>
    <row r="211" spans="1:8" x14ac:dyDescent="0.2">
      <c r="A211" s="168"/>
      <c r="B211" s="168"/>
      <c r="C211" s="168"/>
      <c r="D211" s="168"/>
      <c r="E211" s="168"/>
      <c r="F211" s="168"/>
      <c r="G211" s="168"/>
      <c r="H211" s="221"/>
    </row>
    <row r="212" spans="1:8" x14ac:dyDescent="0.2">
      <c r="A212" s="439" t="s">
        <v>521</v>
      </c>
      <c r="B212" s="439"/>
      <c r="C212" s="439"/>
      <c r="D212" s="439"/>
      <c r="E212" s="439"/>
      <c r="F212" s="439"/>
      <c r="G212" s="439"/>
      <c r="H212" s="221"/>
    </row>
    <row r="213" spans="1:8" ht="13.5" thickBot="1" x14ac:dyDescent="0.25">
      <c r="A213" s="168"/>
      <c r="B213" s="168"/>
      <c r="C213" s="168"/>
      <c r="D213" s="168"/>
      <c r="E213" s="168"/>
      <c r="F213" s="168"/>
      <c r="G213" s="168"/>
      <c r="H213" s="221"/>
    </row>
    <row r="214" spans="1:8" ht="48.75" thickBot="1" x14ac:dyDescent="0.25">
      <c r="A214" s="199" t="s">
        <v>679</v>
      </c>
      <c r="B214" s="200" t="s">
        <v>523</v>
      </c>
      <c r="C214" s="200" t="s">
        <v>680</v>
      </c>
      <c r="D214" s="200" t="s">
        <v>681</v>
      </c>
      <c r="E214" s="200" t="s">
        <v>682</v>
      </c>
      <c r="F214" s="201" t="s">
        <v>683</v>
      </c>
      <c r="G214" s="202" t="s">
        <v>527</v>
      </c>
      <c r="H214" s="221"/>
    </row>
    <row r="215" spans="1:8" ht="48" x14ac:dyDescent="0.2">
      <c r="A215" s="203" t="s">
        <v>684</v>
      </c>
      <c r="B215" s="204" t="s">
        <v>538</v>
      </c>
      <c r="C215" s="126"/>
      <c r="D215" s="128">
        <v>473548</v>
      </c>
      <c r="E215" s="128">
        <f>537980-64432</f>
        <v>473548</v>
      </c>
      <c r="F215" s="128">
        <f>+E215-D215</f>
        <v>0</v>
      </c>
      <c r="G215" s="205" t="s">
        <v>685</v>
      </c>
      <c r="H215" s="221"/>
    </row>
    <row r="216" spans="1:8" x14ac:dyDescent="0.2">
      <c r="A216" s="206"/>
      <c r="B216" s="207"/>
      <c r="C216" s="207"/>
      <c r="D216" s="207"/>
      <c r="E216" s="207"/>
      <c r="F216" s="207"/>
      <c r="G216" s="208"/>
      <c r="H216" s="221"/>
    </row>
    <row r="217" spans="1:8" ht="36" x14ac:dyDescent="0.2">
      <c r="A217" s="203" t="s">
        <v>686</v>
      </c>
      <c r="B217" s="204" t="s">
        <v>687</v>
      </c>
      <c r="C217" s="126"/>
      <c r="D217" s="128">
        <v>-77667</v>
      </c>
      <c r="E217" s="128">
        <f>+D217</f>
        <v>-77667</v>
      </c>
      <c r="F217" s="128">
        <f>+E217-D217</f>
        <v>0</v>
      </c>
      <c r="G217" s="209" t="s">
        <v>688</v>
      </c>
      <c r="H217" s="221"/>
    </row>
    <row r="218" spans="1:8" x14ac:dyDescent="0.2">
      <c r="A218" s="206"/>
      <c r="B218" s="207"/>
      <c r="C218" s="207"/>
      <c r="D218" s="207"/>
      <c r="E218" s="207"/>
      <c r="F218" s="207"/>
      <c r="G218" s="208"/>
      <c r="H218" s="221"/>
    </row>
    <row r="219" spans="1:8" ht="48" x14ac:dyDescent="0.2">
      <c r="A219" s="203" t="s">
        <v>689</v>
      </c>
      <c r="B219" s="204" t="s">
        <v>555</v>
      </c>
      <c r="C219" s="126"/>
      <c r="D219" s="128">
        <v>-336714</v>
      </c>
      <c r="E219" s="128">
        <f>-272282-64432</f>
        <v>-336714</v>
      </c>
      <c r="F219" s="128">
        <f>+E219-D219</f>
        <v>0</v>
      </c>
      <c r="G219" s="209" t="s">
        <v>690</v>
      </c>
      <c r="H219" s="221"/>
    </row>
    <row r="220" spans="1:8" x14ac:dyDescent="0.2">
      <c r="A220" s="206"/>
      <c r="B220" s="207"/>
      <c r="C220" s="207"/>
      <c r="D220" s="207"/>
      <c r="E220" s="207"/>
      <c r="F220" s="207"/>
      <c r="G220" s="208"/>
      <c r="H220" s="221"/>
    </row>
    <row r="221" spans="1:8" ht="36" x14ac:dyDescent="0.2">
      <c r="A221" s="203" t="s">
        <v>691</v>
      </c>
      <c r="B221" s="204" t="s">
        <v>692</v>
      </c>
      <c r="C221" s="126"/>
      <c r="D221" s="128">
        <f>+D215+D217+D219</f>
        <v>59167</v>
      </c>
      <c r="E221" s="128">
        <f>+E215+E217+E219</f>
        <v>59167</v>
      </c>
      <c r="F221" s="128">
        <f>+E221-D221</f>
        <v>0</v>
      </c>
      <c r="G221" s="210"/>
      <c r="H221" s="221"/>
    </row>
    <row r="222" spans="1:8" x14ac:dyDescent="0.2">
      <c r="A222" s="206"/>
      <c r="B222" s="207"/>
      <c r="C222" s="207"/>
      <c r="D222" s="207"/>
      <c r="E222" s="207"/>
      <c r="F222" s="207"/>
      <c r="G222" s="208"/>
      <c r="H222" s="221"/>
    </row>
    <row r="223" spans="1:8" ht="24" x14ac:dyDescent="0.2">
      <c r="A223" s="203" t="s">
        <v>432</v>
      </c>
      <c r="B223" s="204" t="s">
        <v>693</v>
      </c>
      <c r="C223" s="126"/>
      <c r="D223" s="128">
        <f>522973</f>
        <v>522973</v>
      </c>
      <c r="E223" s="128">
        <f>+D223</f>
        <v>522973</v>
      </c>
      <c r="F223" s="128">
        <f>+E223-D223</f>
        <v>0</v>
      </c>
      <c r="G223" s="210"/>
      <c r="H223" s="221"/>
    </row>
    <row r="224" spans="1:8" x14ac:dyDescent="0.2">
      <c r="A224" s="206"/>
      <c r="B224" s="207"/>
      <c r="C224" s="207"/>
      <c r="D224" s="211"/>
      <c r="E224" s="211"/>
      <c r="F224" s="207"/>
      <c r="G224" s="208"/>
      <c r="H224" s="221"/>
    </row>
    <row r="225" spans="1:8" ht="36.75" thickBot="1" x14ac:dyDescent="0.25">
      <c r="A225" s="212" t="s">
        <v>694</v>
      </c>
      <c r="B225" s="213" t="s">
        <v>695</v>
      </c>
      <c r="C225" s="213"/>
      <c r="D225" s="214">
        <f>+D221+D223+1</f>
        <v>582141</v>
      </c>
      <c r="E225" s="214">
        <f>+E221+E223+1</f>
        <v>582141</v>
      </c>
      <c r="F225" s="214">
        <f>+E225-D225</f>
        <v>0</v>
      </c>
      <c r="G225" s="215"/>
      <c r="H225" s="221"/>
    </row>
    <row r="229" spans="1:8" ht="28.5" customHeight="1" x14ac:dyDescent="0.25">
      <c r="A229" s="438" t="s">
        <v>751</v>
      </c>
      <c r="B229" s="438"/>
      <c r="C229" s="438"/>
      <c r="D229" s="438"/>
      <c r="E229" s="438"/>
      <c r="F229" s="438"/>
      <c r="G229" s="438"/>
      <c r="H229" s="221"/>
    </row>
    <row r="230" spans="1:8" x14ac:dyDescent="0.2">
      <c r="A230" s="168"/>
      <c r="B230" s="168"/>
      <c r="C230" s="168"/>
      <c r="D230" s="168"/>
      <c r="E230" s="168"/>
      <c r="F230" s="168"/>
      <c r="G230" s="168"/>
      <c r="H230" s="221"/>
    </row>
    <row r="231" spans="1:8" x14ac:dyDescent="0.2">
      <c r="A231" s="439" t="s">
        <v>521</v>
      </c>
      <c r="B231" s="439"/>
      <c r="C231" s="439"/>
      <c r="D231" s="439"/>
      <c r="E231" s="439"/>
      <c r="F231" s="439"/>
      <c r="G231" s="439"/>
      <c r="H231" s="221"/>
    </row>
    <row r="232" spans="1:8" ht="13.5" thickBot="1" x14ac:dyDescent="0.25">
      <c r="A232" s="168"/>
      <c r="B232" s="168"/>
      <c r="C232" s="168"/>
      <c r="D232" s="168"/>
      <c r="E232" s="168"/>
      <c r="F232" s="168"/>
      <c r="G232" s="168"/>
      <c r="H232" s="221"/>
    </row>
    <row r="233" spans="1:8" ht="60.75" thickBot="1" x14ac:dyDescent="0.25">
      <c r="A233" s="199" t="s">
        <v>741</v>
      </c>
      <c r="B233" s="200" t="s">
        <v>523</v>
      </c>
      <c r="C233" s="200" t="s">
        <v>680</v>
      </c>
      <c r="D233" s="200" t="s">
        <v>681</v>
      </c>
      <c r="E233" s="200" t="s">
        <v>682</v>
      </c>
      <c r="F233" s="201" t="s">
        <v>683</v>
      </c>
      <c r="G233" s="202" t="s">
        <v>527</v>
      </c>
      <c r="H233" s="221"/>
    </row>
    <row r="234" spans="1:8" ht="192.75" thickBot="1" x14ac:dyDescent="0.25">
      <c r="A234" s="216" t="s">
        <v>698</v>
      </c>
      <c r="B234" s="217" t="s">
        <v>699</v>
      </c>
      <c r="C234" s="218" t="s">
        <v>572</v>
      </c>
      <c r="D234" s="219">
        <v>3074950</v>
      </c>
      <c r="E234" s="219">
        <v>3074950</v>
      </c>
      <c r="F234" s="219">
        <f>E234-D234</f>
        <v>0</v>
      </c>
      <c r="G234" s="220" t="s">
        <v>753</v>
      </c>
      <c r="H234" s="221"/>
    </row>
    <row r="238" spans="1:8" ht="30" customHeight="1" x14ac:dyDescent="0.25">
      <c r="A238" s="438" t="s">
        <v>696</v>
      </c>
      <c r="B238" s="438"/>
      <c r="C238" s="438"/>
      <c r="D238" s="438"/>
      <c r="E238" s="438"/>
      <c r="F238" s="438"/>
      <c r="G238" s="438"/>
      <c r="H238" s="221"/>
    </row>
    <row r="239" spans="1:8" x14ac:dyDescent="0.2">
      <c r="A239" s="168"/>
      <c r="B239" s="168"/>
      <c r="C239" s="168"/>
      <c r="D239" s="168"/>
      <c r="E239" s="168"/>
      <c r="F239" s="168"/>
      <c r="G239" s="168"/>
      <c r="H239" s="221"/>
    </row>
    <row r="240" spans="1:8" x14ac:dyDescent="0.2">
      <c r="A240" s="439" t="s">
        <v>521</v>
      </c>
      <c r="B240" s="439"/>
      <c r="C240" s="439"/>
      <c r="D240" s="439"/>
      <c r="E240" s="439"/>
      <c r="F240" s="439"/>
      <c r="G240" s="439"/>
      <c r="H240" s="221"/>
    </row>
    <row r="241" spans="1:8" ht="13.5" thickBot="1" x14ac:dyDescent="0.25">
      <c r="A241" s="168"/>
      <c r="B241" s="168"/>
      <c r="C241" s="168"/>
      <c r="D241" s="168"/>
      <c r="E241" s="168"/>
      <c r="F241" s="168"/>
      <c r="G241" s="168"/>
      <c r="H241" s="221"/>
    </row>
    <row r="242" spans="1:8" ht="60.75" thickBot="1" x14ac:dyDescent="0.25">
      <c r="A242" s="199" t="s">
        <v>697</v>
      </c>
      <c r="B242" s="200" t="s">
        <v>523</v>
      </c>
      <c r="C242" s="200" t="s">
        <v>680</v>
      </c>
      <c r="D242" s="200" t="s">
        <v>681</v>
      </c>
      <c r="E242" s="200" t="s">
        <v>682</v>
      </c>
      <c r="F242" s="201" t="s">
        <v>683</v>
      </c>
      <c r="G242" s="202" t="s">
        <v>527</v>
      </c>
      <c r="H242" s="221"/>
    </row>
    <row r="243" spans="1:8" ht="192.75" thickBot="1" x14ac:dyDescent="0.25">
      <c r="A243" s="216" t="s">
        <v>698</v>
      </c>
      <c r="B243" s="217" t="s">
        <v>699</v>
      </c>
      <c r="C243" s="218" t="s">
        <v>572</v>
      </c>
      <c r="D243" s="219">
        <v>2619280</v>
      </c>
      <c r="E243" s="219">
        <f>1672021-124418+5711+81+83601+105845+876439</f>
        <v>2619280</v>
      </c>
      <c r="F243" s="219">
        <f>E243-D243</f>
        <v>0</v>
      </c>
      <c r="G243" s="220" t="s">
        <v>700</v>
      </c>
      <c r="H243" s="221"/>
    </row>
  </sheetData>
  <mergeCells count="9">
    <mergeCell ref="A229:G229"/>
    <mergeCell ref="A231:G231"/>
    <mergeCell ref="A238:G238"/>
    <mergeCell ref="A240:G240"/>
    <mergeCell ref="A1:J30"/>
    <mergeCell ref="A192:G192"/>
    <mergeCell ref="A194:G194"/>
    <mergeCell ref="A210:G210"/>
    <mergeCell ref="A212:G2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Kristina Roža Pamić</cp:lastModifiedBy>
  <cp:lastPrinted>2018-04-25T06:49:36Z</cp:lastPrinted>
  <dcterms:created xsi:type="dcterms:W3CDTF">2008-10-17T11:51:54Z</dcterms:created>
  <dcterms:modified xsi:type="dcterms:W3CDTF">2023-02-20T15:47:23Z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