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kocijan\Documents\OBJAVE\SLUŽBENO TRŽIŠTE OBJAVE\"/>
    </mc:Choice>
  </mc:AlternateContent>
  <bookViews>
    <workbookView xWindow="14235" yWindow="105" windowWidth="14565" windowHeight="12825" activeTab="1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62913"/>
</workbook>
</file>

<file path=xl/calcChain.xml><?xml version="1.0" encoding="utf-8"?>
<calcChain xmlns="http://schemas.openxmlformats.org/spreadsheetml/2006/main">
  <c r="D17" i="20" l="1"/>
  <c r="F65" i="18" l="1"/>
  <c r="F60" i="18"/>
  <c r="D37" i="20" l="1"/>
  <c r="F37" i="18" l="1"/>
  <c r="F36" i="18"/>
  <c r="F35" i="18"/>
  <c r="F32" i="18"/>
  <c r="F31" i="18"/>
  <c r="F29" i="18"/>
  <c r="F28" i="18"/>
  <c r="F26" i="18"/>
  <c r="F24" i="18"/>
  <c r="F21" i="18"/>
  <c r="F20" i="18"/>
  <c r="F19" i="18"/>
  <c r="F18" i="18"/>
  <c r="F17" i="18"/>
  <c r="F15" i="18"/>
  <c r="F14" i="18"/>
  <c r="F13" i="18"/>
  <c r="F8" i="18"/>
  <c r="E12" i="18" l="1"/>
  <c r="F12" i="18"/>
  <c r="E9" i="18"/>
  <c r="F9" i="18" s="1"/>
  <c r="D9" i="19"/>
  <c r="C9" i="19"/>
  <c r="D65" i="18" l="1"/>
  <c r="D60" i="18"/>
  <c r="D37" i="18"/>
  <c r="D36" i="18"/>
  <c r="D35" i="18"/>
  <c r="D32" i="18"/>
  <c r="D31" i="18"/>
  <c r="D29" i="18"/>
  <c r="D26" i="18"/>
  <c r="D24" i="18"/>
  <c r="D21" i="18"/>
  <c r="D20" i="18"/>
  <c r="D19" i="18"/>
  <c r="D18" i="18"/>
  <c r="D17" i="18"/>
  <c r="D15" i="18"/>
  <c r="D14" i="18"/>
  <c r="D13" i="18"/>
  <c r="D9" i="18"/>
  <c r="D8" i="18"/>
  <c r="D12" i="18" l="1"/>
  <c r="D100" i="19"/>
  <c r="D90" i="19"/>
  <c r="D86" i="19"/>
  <c r="D82" i="19"/>
  <c r="D79" i="19"/>
  <c r="D72" i="19"/>
  <c r="D56" i="19"/>
  <c r="D49" i="19"/>
  <c r="D41" i="19"/>
  <c r="D35" i="19"/>
  <c r="D26" i="19"/>
  <c r="D16" i="19"/>
  <c r="F22" i="18"/>
  <c r="E22" i="18"/>
  <c r="E16" i="18"/>
  <c r="D8" i="19" l="1"/>
  <c r="E10" i="18"/>
  <c r="D69" i="19"/>
  <c r="D114" i="19" s="1"/>
  <c r="D40" i="19"/>
  <c r="F16" i="18"/>
  <c r="E7" i="18"/>
  <c r="E27" i="18"/>
  <c r="E33" i="18"/>
  <c r="F27" i="18"/>
  <c r="F33" i="18"/>
  <c r="F7" i="18"/>
  <c r="D44" i="20"/>
  <c r="D38" i="20"/>
  <c r="D31" i="20"/>
  <c r="D27" i="20"/>
  <c r="D18" i="20"/>
  <c r="D13" i="20"/>
  <c r="D66" i="19" l="1"/>
  <c r="D45" i="20"/>
  <c r="D32" i="20"/>
  <c r="F42" i="18"/>
  <c r="E43" i="18"/>
  <c r="F10" i="18"/>
  <c r="F43" i="18" s="1"/>
  <c r="D19" i="20"/>
  <c r="D33" i="20"/>
  <c r="E42" i="18"/>
  <c r="D46" i="20"/>
  <c r="C44" i="20"/>
  <c r="C38" i="20"/>
  <c r="C31" i="20"/>
  <c r="C27" i="20"/>
  <c r="C18" i="20"/>
  <c r="C13" i="20"/>
  <c r="D57" i="18"/>
  <c r="D66" i="18" s="1"/>
  <c r="C57" i="18"/>
  <c r="C66" i="18" s="1"/>
  <c r="C33" i="18"/>
  <c r="C27" i="18"/>
  <c r="D22" i="18"/>
  <c r="C22" i="18"/>
  <c r="D16" i="18"/>
  <c r="C16" i="18"/>
  <c r="C12" i="18"/>
  <c r="C7" i="18"/>
  <c r="C100" i="19"/>
  <c r="C90" i="19"/>
  <c r="C86" i="19"/>
  <c r="C82" i="19"/>
  <c r="C79" i="19"/>
  <c r="C72" i="19"/>
  <c r="C56" i="19"/>
  <c r="C49" i="19"/>
  <c r="C41" i="19"/>
  <c r="C35" i="19"/>
  <c r="C26" i="19"/>
  <c r="C16" i="19"/>
  <c r="C10" i="18" l="1"/>
  <c r="F45" i="18"/>
  <c r="C32" i="20"/>
  <c r="C42" i="18"/>
  <c r="F46" i="18"/>
  <c r="C20" i="20"/>
  <c r="C46" i="20"/>
  <c r="C8" i="19"/>
  <c r="F44" i="18"/>
  <c r="F48" i="18" s="1"/>
  <c r="F50" i="18" s="1"/>
  <c r="E45" i="18"/>
  <c r="E44" i="18"/>
  <c r="E48" i="18" s="1"/>
  <c r="D33" i="18"/>
  <c r="E46" i="18"/>
  <c r="C69" i="19"/>
  <c r="C114" i="19" s="1"/>
  <c r="D27" i="18"/>
  <c r="C33" i="20"/>
  <c r="C40" i="19"/>
  <c r="D10" i="18"/>
  <c r="C19" i="20"/>
  <c r="C45" i="20"/>
  <c r="D7" i="18"/>
  <c r="D43" i="18" l="1"/>
  <c r="C66" i="19"/>
  <c r="D42" i="18"/>
  <c r="D45" i="18" s="1"/>
  <c r="C47" i="20"/>
  <c r="C50" i="20" s="1"/>
  <c r="C48" i="20"/>
  <c r="C51" i="20" s="1"/>
  <c r="C43" i="18"/>
  <c r="F49" i="18"/>
  <c r="E49" i="18"/>
  <c r="E50" i="18"/>
  <c r="D44" i="18" l="1"/>
  <c r="D48" i="18" s="1"/>
  <c r="D46" i="18"/>
  <c r="C52" i="20"/>
  <c r="C46" i="18"/>
  <c r="C44" i="18"/>
  <c r="C48" i="18" s="1"/>
  <c r="C45" i="18"/>
  <c r="D53" i="18"/>
  <c r="D50" i="18"/>
  <c r="D49" i="18"/>
  <c r="D56" i="18"/>
  <c r="D67" i="18" s="1"/>
  <c r="C50" i="18" l="1"/>
  <c r="C53" i="18"/>
  <c r="C49" i="18"/>
  <c r="C56" i="18"/>
  <c r="C67" i="18" s="1"/>
  <c r="K12" i="17"/>
  <c r="K6" i="17"/>
  <c r="K5" i="17"/>
  <c r="J12" i="17"/>
  <c r="J6" i="17"/>
  <c r="J5" i="17"/>
  <c r="J21" i="17" l="1"/>
  <c r="K21" i="17"/>
  <c r="F57" i="18"/>
  <c r="F66" i="18" s="1"/>
  <c r="E57" i="18"/>
  <c r="E66" i="18" s="1"/>
  <c r="D119" i="19"/>
  <c r="K9" i="17"/>
  <c r="K8" i="17"/>
  <c r="K7" i="17"/>
  <c r="J9" i="17"/>
  <c r="J8" i="17"/>
  <c r="J7" i="17"/>
  <c r="C119" i="19"/>
  <c r="J14" i="17" l="1"/>
  <c r="D20" i="20"/>
  <c r="K14" i="17"/>
  <c r="D48" i="20" l="1"/>
  <c r="D51" i="20" s="1"/>
  <c r="D47" i="20"/>
  <c r="D50" i="20" s="1"/>
  <c r="D52" i="20" s="1"/>
  <c r="D54" i="20" s="1"/>
  <c r="F56" i="18"/>
  <c r="F67" i="18" s="1"/>
  <c r="F53" i="18" l="1"/>
  <c r="E53" i="18"/>
  <c r="E56" i="18"/>
  <c r="E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<sst xmlns="http://schemas.openxmlformats.org/spreadsheetml/2006/main" count="337" uniqueCount="300">
  <si>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</si>
  <si>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</si>
  <si>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</si>
  <si>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</si>
  <si>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</si>
  <si>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</si>
  <si>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</si>
  <si>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</si>
  <si>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</si>
  <si>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</si>
  <si>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</si>
  <si>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</si>
  <si>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</si>
  <si>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</si>
  <si>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</si>
  <si>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</si>
  <si>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</si>
  <si>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</si>
  <si>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</si>
  <si>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</si>
  <si>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</si>
  <si>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</si>
  <si>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</si>
  <si>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</si>
  <si>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</si>
  <si>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</si>
  <si>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</si>
  <si>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</si>
  <si>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</si>
  <si>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</si>
  <si>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</si>
  <si>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</si>
  <si>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</si>
  <si>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</si>
  <si>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</si>
  <si>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</si>
  <si>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</si>
  <si>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</si>
  <si>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</si>
  <si>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</si>
  <si>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</si>
  <si>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</si>
  <si>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</si>
  <si>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</si>
  <si>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</si>
  <si>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</si>
  <si>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</si>
  <si>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</si>
  <si>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</si>
  <si>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</si>
  <si>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</si>
  <si>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</si>
  <si>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</si>
  <si>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</si>
  <si>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</si>
  <si>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</si>
  <si>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</si>
  <si>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</si>
  <si>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</si>
  <si>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</si>
  <si>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</si>
  <si>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</si>
  <si>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</si>
  <si>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</si>
  <si>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</si>
  <si>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</si>
  <si>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</si>
  <si>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</si>
  <si>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</si>
  <si>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</si>
  <si>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</si>
  <si>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</si>
  <si>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</si>
  <si>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</si>
  <si>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</si>
  <si>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</si>
  <si>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</si>
  <si>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</si>
  <si>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</si>
  <si>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</si>
  <si>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</si>
  <si>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</si>
  <si>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</si>
  <si>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</si>
  <si>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</si>
  <si>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</si>
  <si>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</si>
  <si>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</si>
  <si>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</si>
  <si>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</si>
  <si>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</si>
  <si>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</si>
  <si>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</si>
  <si>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</si>
  <si>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</si>
  <si>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</si>
  <si>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</si>
  <si>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</si>
  <si>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</si>
  <si>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</si>
  <si>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</si>
  <si>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</si>
  <si>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</si>
  <si>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</si>
  <si>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</si>
  <si>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</si>
  <si>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</si>
  <si>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</si>
  <si>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</si>
  <si>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</si>
  <si>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</si>
  <si>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</si>
  <si>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</si>
  <si>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</si>
  <si>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</si>
  <si>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</si>
  <si>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</si>
  <si>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</si>
  <si>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</si>
  <si>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</si>
  <si>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</si>
  <si>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</si>
  <si>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</si>
  <si>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</si>
  <si>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</si>
  <si>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</si>
  <si>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</si>
  <si>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</si>
  <si>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</si>
  <si>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</si>
  <si>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</si>
  <si>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</si>
  <si>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</si>
  <si>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</si>
  <si>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</si>
  <si>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</si>
  <si>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</si>
  <si>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</si>
  <si>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</si>
  <si>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</si>
  <si>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</si>
  <si>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</si>
  <si>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</si>
  <si>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</si>
  <si>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</si>
  <si>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</si>
  <si>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</si>
  <si>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</si>
  <si>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</si>
  <si>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</si>
  <si>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</si>
  <si>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</si>
  <si>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</si>
  <si>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</si>
  <si>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</si>
  <si>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</si>
  <si>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</si>
  <si>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</si>
  <si>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</si>
  <si>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</si>
  <si>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</si>
  <si>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</si>
  <si>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</si>
  <si>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</si>
  <si>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</si>
  <si>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</si>
  <si>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</si>
  <si>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</si>
  <si>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</si>
  <si>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</si>
  <si>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</si>
  <si>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</si>
  <si>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</si>
  <si>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</si>
  <si>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</si>
  <si>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</si>
  <si>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</si>
  <si>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</si>
  <si>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</si>
  <si>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</si>
  <si>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</si>
  <si>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</si>
  <si>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</si>
  <si>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</si>
  <si>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</si>
  <si>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</si>
  <si>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</si>
  <si>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</si>
  <si>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</si>
  <si>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</si>
  <si>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</si>
  <si>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</si>
  <si>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</si>
  <si>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</si>
  <si>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</si>
  <si>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</si>
  <si>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</si>
  <si>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</si>
  <si>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</si>
  <si>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</si>
  <si>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</si>
  <si>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</si>
  <si>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</si>
  <si>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</si>
  <si>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</si>
  <si>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</si>
  <si>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</si>
  <si>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</si>
  <si>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</si>
  <si>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</si>
  <si>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</si>
  <si>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</si>
  <si>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</si>
  <si>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</si>
  <si>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</si>
  <si>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</si>
  <si>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</si>
  <si>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</si>
  <si>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</si>
  <si>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</si>
  <si>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</si>
  <si>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</si>
  <si>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</si>
  <si>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</si>
  <si>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</si>
  <si>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</si>
  <si>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</si>
  <si>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</si>
  <si>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</si>
  <si>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</si>
  <si>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</si>
  <si>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</si>
  <si>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</si>
  <si>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</si>
  <si>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</si>
  <si>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</si>
  <si>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</si>
  <si>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</si>
  <si>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</si>
  <si>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</si>
  <si>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</si>
  <si>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</si>
  <si>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</si>
  <si>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</si>
  <si>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</si>
  <si>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</si>
  <si>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</si>
  <si>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</si>
  <si>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</si>
  <si>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</si>
  <si>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</si>
  <si>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</si>
  <si>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</si>
  <si>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</si>
  <si>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</si>
  <si>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</si>
  <si>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</si>
  <si>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</si>
  <si>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</si>
  <si>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</si>
  <si>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</si>
  <si>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</si>
  <si>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</si>
  <si>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</si>
  <si>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</si>
  <si>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</si>
  <si>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</si>
  <si>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</si>
  <si>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</si>
  <si>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</si>
  <si>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</si>
  <si>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</si>
  <si>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</si>
  <si>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</si>
  <si>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</si>
  <si>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</si>
  <si>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</si>
  <si>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</si>
  <si>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</si>
  <si>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</si>
  <si>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</si>
  <si>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</si>
  <si>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</si>
  <si>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</si>
  <si>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</si>
  <si>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</si>
  <si>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</si>
  <si>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II. OTHER COMPREHENSIVE INCOME/LOSS BEFORE TAXES (159 to 165)</t>
  </si>
  <si>
    <t>3. Declaration of the persons responsible for preparing the issuer's statements.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</si>
  <si>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</si>
  <si>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</si>
  <si>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</si>
  <si>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</si>
  <si>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</si>
  <si>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as of 30.09.2018.</t>
  </si>
  <si>
    <t>period 1.1.2018. to 30.09.2018.</t>
  </si>
  <si>
    <t>IV. NET OTHER COMPREHENSIVE INCOME FOR THE PERIOD (158-166)</t>
  </si>
  <si>
    <t xml:space="preserve">     1. Interest, foreign exchange differences, dividends and similar income from related parties</t>
  </si>
  <si>
    <t>ADDITION TO STATEMENT OF OTHER COMPREHENSIVE INCOME (only for consolidated financial statements)</t>
  </si>
  <si>
    <t>ADDITION TO PROFIT AND LOSS ACCOUNT (only for consolidated financial statements)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</si>
</sst>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name val="Trebuchet M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7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3" fillId="0" borderId="0"/>
    <xf numFmtId="0" fontId="25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305"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3" applyFont="1" applyAlignment="1"/>
    <xf numFmtId="0" fontId="4" fillId="0" borderId="0" xfId="3" applyFont="1" applyAlignment="1"/>
    <xf numFmtId="0" fontId="10" fillId="0" borderId="6" xfId="3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Border="1" applyAlignment="1" applyProtection="1"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1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/>
      <protection hidden="1"/>
    </xf>
    <xf numFmtId="0" fontId="10" fillId="0" borderId="0" xfId="3" applyFont="1" applyBorder="1" applyAlignment="1" applyProtection="1">
      <alignment vertical="top"/>
      <protection hidden="1"/>
    </xf>
    <xf numFmtId="0" fontId="10" fillId="0" borderId="0" xfId="3" applyFont="1" applyBorder="1" applyAlignment="1" applyProtection="1">
      <alignment horizontal="right"/>
      <protection hidden="1"/>
    </xf>
    <xf numFmtId="0" fontId="7" fillId="0" borderId="0" xfId="3" applyFont="1" applyFill="1" applyBorder="1" applyAlignment="1" applyProtection="1">
      <alignment horizontal="right" vertical="center"/>
      <protection locked="0" hidden="1"/>
    </xf>
    <xf numFmtId="0" fontId="10" fillId="0" borderId="0" xfId="3" applyFont="1" applyFill="1" applyBorder="1" applyAlignment="1" applyProtection="1">
      <protection hidden="1"/>
    </xf>
    <xf numFmtId="0" fontId="10" fillId="0" borderId="0" xfId="3" applyFont="1" applyBorder="1" applyAlignment="1" applyProtection="1">
      <alignment horizontal="center" vertical="center"/>
      <protection locked="0" hidden="1"/>
    </xf>
    <xf numFmtId="0" fontId="10" fillId="0" borderId="0" xfId="3" applyFont="1" applyBorder="1" applyAlignment="1" applyProtection="1">
      <alignment horizontal="right" vertical="top"/>
      <protection hidden="1"/>
    </xf>
    <xf numFmtId="0" fontId="10" fillId="0" borderId="0" xfId="3" applyFont="1" applyBorder="1" applyAlignment="1"/>
    <xf numFmtId="0" fontId="10" fillId="0" borderId="0" xfId="3" applyFont="1" applyBorder="1" applyAlignment="1" applyProtection="1">
      <alignment horizontal="left" vertical="top"/>
      <protection hidden="1"/>
    </xf>
    <xf numFmtId="0" fontId="10" fillId="0" borderId="7" xfId="3" applyFont="1" applyBorder="1" applyAlignment="1" applyProtection="1"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10" fillId="0" borderId="8" xfId="3" applyFont="1" applyBorder="1" applyAlignment="1" applyProtection="1">
      <protection hidden="1"/>
    </xf>
    <xf numFmtId="0" fontId="10" fillId="0" borderId="8" xfId="3" applyFont="1" applyBorder="1" applyAlignment="1"/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10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5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" applyFont="1" applyFill="1" applyBorder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10" fillId="0" borderId="7" xfId="3" applyFont="1" applyBorder="1" applyAlignment="1"/>
    <xf numFmtId="0" fontId="10" fillId="0" borderId="12" xfId="3" applyFont="1" applyBorder="1" applyAlignment="1"/>
    <xf numFmtId="0" fontId="8" fillId="0" borderId="13" xfId="3" applyFont="1" applyFill="1" applyBorder="1" applyAlignment="1" applyProtection="1">
      <alignment horizontal="left" vertical="center" wrapText="1"/>
      <protection hidden="1"/>
    </xf>
    <xf numFmtId="0" fontId="10" fillId="0" borderId="13" xfId="3" applyFont="1" applyBorder="1" applyAlignment="1" applyProtection="1">
      <alignment horizontal="left" vertical="center" wrapText="1"/>
      <protection hidden="1"/>
    </xf>
    <xf numFmtId="0" fontId="17" fillId="0" borderId="0" xfId="3" applyFont="1" applyBorder="1" applyAlignment="1" applyProtection="1">
      <alignment horizontal="right"/>
      <protection hidden="1"/>
    </xf>
    <xf numFmtId="0" fontId="10" fillId="0" borderId="13" xfId="3" applyFont="1" applyFill="1" applyBorder="1" applyAlignment="1" applyProtection="1">
      <protection hidden="1"/>
    </xf>
    <xf numFmtId="0" fontId="10" fillId="0" borderId="13" xfId="3" applyFont="1" applyBorder="1" applyAlignment="1" applyProtection="1">
      <alignment wrapText="1"/>
      <protection hidden="1"/>
    </xf>
    <xf numFmtId="0" fontId="10" fillId="0" borderId="13" xfId="3" applyFont="1" applyBorder="1" applyAlignment="1" applyProtection="1">
      <protection hidden="1"/>
    </xf>
    <xf numFmtId="0" fontId="8" fillId="0" borderId="0" xfId="3" applyFont="1" applyBorder="1" applyAlignment="1" applyProtection="1">
      <protection hidden="1"/>
    </xf>
    <xf numFmtId="0" fontId="10" fillId="0" borderId="13" xfId="3" applyFont="1" applyBorder="1" applyAlignment="1" applyProtection="1">
      <alignment horizontal="left" vertical="top" wrapText="1"/>
      <protection hidden="1"/>
    </xf>
    <xf numFmtId="0" fontId="10" fillId="0" borderId="13" xfId="3" applyFont="1" applyBorder="1" applyAlignment="1" applyProtection="1">
      <alignment horizontal="left" vertical="top" indent="2"/>
      <protection hidden="1"/>
    </xf>
    <xf numFmtId="0" fontId="10" fillId="0" borderId="13" xfId="3" applyFont="1" applyBorder="1" applyAlignment="1" applyProtection="1">
      <alignment horizontal="left" vertical="top" wrapText="1" indent="2"/>
      <protection hidden="1"/>
    </xf>
    <xf numFmtId="49" fontId="7" fillId="0" borderId="13" xfId="3" applyNumberFormat="1" applyFont="1" applyBorder="1" applyAlignment="1" applyProtection="1">
      <alignment horizontal="center" vertical="center"/>
      <protection locked="0" hidden="1"/>
    </xf>
    <xf numFmtId="0" fontId="10" fillId="0" borderId="13" xfId="3" applyFont="1" applyBorder="1" applyAlignment="1" applyProtection="1">
      <alignment horizontal="left"/>
      <protection hidden="1"/>
    </xf>
    <xf numFmtId="0" fontId="10" fillId="0" borderId="12" xfId="3" applyFont="1" applyBorder="1" applyAlignment="1" applyProtection="1">
      <protection hidden="1"/>
    </xf>
    <xf numFmtId="0" fontId="10" fillId="0" borderId="13" xfId="3" applyFont="1" applyFill="1" applyBorder="1" applyAlignment="1" applyProtection="1">
      <alignment vertical="center"/>
      <protection hidden="1"/>
    </xf>
    <xf numFmtId="0" fontId="10" fillId="0" borderId="14" xfId="3" applyFont="1" applyBorder="1" applyAlignment="1" applyProtection="1">
      <protection hidden="1"/>
    </xf>
    <xf numFmtId="0" fontId="10" fillId="0" borderId="15" xfId="3" applyFont="1" applyFill="1" applyBorder="1" applyAlignment="1" applyProtection="1">
      <protection hidden="1"/>
    </xf>
    <xf numFmtId="0" fontId="10" fillId="0" borderId="16" xfId="3" applyFont="1" applyFill="1" applyBorder="1" applyAlignment="1" applyProtection="1">
      <protection hidden="1"/>
    </xf>
    <xf numFmtId="14" fontId="7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3" applyFont="1" applyFill="1" applyBorder="1" applyAlignment="1"/>
    <xf numFmtId="49" fontId="7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vertical="center" wrapText="1"/>
      <protection hidden="1"/>
    </xf>
    <xf numFmtId="0" fontId="12" fillId="0" borderId="23" xfId="0" applyFont="1" applyFill="1" applyBorder="1" applyAlignment="1" applyProtection="1">
      <alignment vertical="center" wrapText="1"/>
      <protection hidden="1"/>
    </xf>
    <xf numFmtId="0" fontId="7" fillId="0" borderId="20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9" fillId="0" borderId="2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10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8" fillId="0" borderId="19" xfId="0" applyFont="1" applyFill="1" applyBorder="1" applyAlignment="1">
      <alignment horizontal="left" vertical="center" wrapText="1"/>
    </xf>
    <xf numFmtId="49" fontId="7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3" fontId="7" fillId="0" borderId="21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7" fillId="0" borderId="0" xfId="14" applyFont="1" applyFill="1" applyBorder="1" applyProtection="1"/>
    <xf numFmtId="3" fontId="26" fillId="0" borderId="0" xfId="14" applyNumberFormat="1" applyFont="1" applyFill="1" applyBorder="1" applyProtection="1"/>
    <xf numFmtId="0" fontId="26" fillId="0" borderId="0" xfId="17" applyFont="1" applyFill="1" applyBorder="1"/>
    <xf numFmtId="3" fontId="27" fillId="0" borderId="0" xfId="17" applyNumberFormat="1" applyFont="1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" fontId="27" fillId="0" borderId="0" xfId="14" applyNumberFormat="1" applyFont="1" applyFill="1" applyBorder="1" applyProtection="1"/>
    <xf numFmtId="0" fontId="0" fillId="0" borderId="0" xfId="0" applyFill="1" applyBorder="1"/>
    <xf numFmtId="37" fontId="27" fillId="0" borderId="0" xfId="17" applyNumberFormat="1" applyFont="1" applyFill="1" applyBorder="1" applyProtection="1"/>
    <xf numFmtId="3" fontId="27" fillId="0" borderId="0" xfId="17" applyNumberFormat="1" applyFont="1" applyFill="1" applyBorder="1" applyProtection="1"/>
    <xf numFmtId="37" fontId="27" fillId="0" borderId="0" xfId="14" applyNumberFormat="1" applyFont="1" applyFill="1" applyBorder="1" applyProtection="1"/>
    <xf numFmtId="3" fontId="0" fillId="0" borderId="0" xfId="0" applyNumberFormat="1" applyFill="1" applyBorder="1"/>
    <xf numFmtId="1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12" fillId="0" borderId="16" xfId="0" applyFont="1" applyFill="1" applyBorder="1" applyAlignment="1" applyProtection="1">
      <alignment horizontal="left" vertical="center" wrapText="1"/>
      <protection hidden="1"/>
    </xf>
    <xf numFmtId="0" fontId="7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7" fillId="0" borderId="1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0" borderId="0" xfId="3" applyFont="1" applyFill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6" xfId="3" applyFont="1" applyFill="1" applyBorder="1" applyAlignment="1" applyProtection="1">
      <alignment vertical="center"/>
      <protection hidden="1"/>
    </xf>
    <xf numFmtId="0" fontId="10" fillId="0" borderId="6" xfId="3" applyFont="1" applyBorder="1" applyAlignment="1" applyProtection="1">
      <protection hidden="1"/>
    </xf>
    <xf numFmtId="0" fontId="10" fillId="0" borderId="6" xfId="3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wrapText="1"/>
      <protection hidden="1"/>
    </xf>
    <xf numFmtId="0" fontId="10" fillId="0" borderId="0" xfId="3" applyFont="1" applyBorder="1" applyAlignment="1" applyProtection="1">
      <alignment horizontal="right"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/>
    <xf numFmtId="0" fontId="10" fillId="0" borderId="6" xfId="3" applyFont="1" applyBorder="1" applyAlignment="1"/>
    <xf numFmtId="0" fontId="8" fillId="0" borderId="6" xfId="0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vertical="top"/>
      <protection hidden="1"/>
    </xf>
    <xf numFmtId="0" fontId="7" fillId="0" borderId="6" xfId="3" applyFont="1" applyFill="1" applyBorder="1" applyAlignment="1" applyProtection="1">
      <alignment horizontal="right" vertical="center"/>
      <protection locked="0" hidden="1"/>
    </xf>
    <xf numFmtId="0" fontId="10" fillId="0" borderId="6" xfId="3" applyFont="1" applyBorder="1" applyAlignment="1" applyProtection="1">
      <alignment horizontal="left" vertical="top"/>
      <protection hidden="1"/>
    </xf>
    <xf numFmtId="0" fontId="10" fillId="0" borderId="6" xfId="3" applyFont="1" applyBorder="1" applyAlignment="1" applyProtection="1">
      <alignment horizontal="left"/>
      <protection hidden="1"/>
    </xf>
    <xf numFmtId="0" fontId="7" fillId="0" borderId="6" xfId="3" applyFont="1" applyBorder="1" applyAlignment="1" applyProtection="1">
      <alignment vertical="center"/>
      <protection hidden="1"/>
    </xf>
    <xf numFmtId="0" fontId="10" fillId="0" borderId="6" xfId="3" applyFont="1" applyFill="1" applyBorder="1" applyAlignment="1" applyProtection="1">
      <alignment horizontal="right" vertical="top" wrapText="1"/>
      <protection hidden="1"/>
    </xf>
    <xf numFmtId="0" fontId="8" fillId="0" borderId="13" xfId="0" applyFont="1" applyBorder="1" applyAlignment="1" applyProtection="1">
      <protection hidden="1"/>
    </xf>
    <xf numFmtId="0" fontId="7" fillId="0" borderId="13" xfId="0" applyFont="1" applyFill="1" applyBorder="1" applyAlignment="1" applyProtection="1">
      <alignment horizontal="right" vertical="center"/>
      <protection locked="0" hidden="1"/>
    </xf>
    <xf numFmtId="0" fontId="8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8" fillId="0" borderId="0" xfId="5" applyFont="1" applyBorder="1" applyAlignment="1" applyProtection="1">
      <alignment vertical="center"/>
      <protection hidden="1"/>
    </xf>
    <xf numFmtId="0" fontId="18" fillId="0" borderId="13" xfId="5" applyFont="1" applyFill="1" applyBorder="1" applyAlignment="1" applyProtection="1">
      <alignment vertical="center"/>
      <protection hidden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20" fillId="0" borderId="6" xfId="5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 applyProtection="1">
      <alignment vertical="center"/>
      <protection hidden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/>
    <xf numFmtId="3" fontId="5" fillId="2" borderId="1" xfId="0" applyNumberFormat="1" applyFont="1" applyFill="1" applyBorder="1" applyAlignment="1" applyProtection="1">
      <alignment vertical="center"/>
      <protection locked="0"/>
    </xf>
    <xf numFmtId="3" fontId="33" fillId="0" borderId="1" xfId="0" applyNumberFormat="1" applyFont="1" applyFill="1" applyBorder="1" applyAlignment="1" applyProtection="1">
      <alignment vertical="center"/>
      <protection locked="0"/>
    </xf>
    <xf numFmtId="3" fontId="34" fillId="0" borderId="0" xfId="0" applyNumberFormat="1" applyFont="1" applyFill="1"/>
    <xf numFmtId="0" fontId="34" fillId="0" borderId="0" xfId="0" applyFont="1" applyFill="1"/>
    <xf numFmtId="3" fontId="5" fillId="0" borderId="5" xfId="25" applyNumberFormat="1" applyFont="1" applyFill="1" applyBorder="1"/>
    <xf numFmtId="3" fontId="5" fillId="0" borderId="1" xfId="25" applyNumberFormat="1" applyFont="1" applyFill="1" applyBorder="1"/>
    <xf numFmtId="3" fontId="5" fillId="0" borderId="13" xfId="25" applyNumberFormat="1" applyFont="1" applyFill="1" applyBorder="1"/>
    <xf numFmtId="3" fontId="5" fillId="0" borderId="1" xfId="26" applyNumberFormat="1" applyFont="1" applyFill="1" applyBorder="1" applyAlignment="1" applyProtection="1">
      <alignment vertical="center"/>
      <protection locked="0"/>
    </xf>
    <xf numFmtId="3" fontId="5" fillId="0" borderId="5" xfId="26" applyNumberFormat="1" applyFont="1" applyFill="1" applyBorder="1" applyAlignment="1" applyProtection="1">
      <alignment vertical="center"/>
      <protection locked="0"/>
    </xf>
    <xf numFmtId="3" fontId="5" fillId="3" borderId="13" xfId="25" applyNumberFormat="1" applyFont="1" applyFill="1" applyBorder="1"/>
    <xf numFmtId="3" fontId="7" fillId="0" borderId="10" xfId="1" applyNumberFormat="1" applyFont="1" applyFill="1" applyBorder="1" applyAlignment="1" applyProtection="1">
      <alignment horizontal="right"/>
      <protection locked="0" hidden="1"/>
    </xf>
    <xf numFmtId="37" fontId="35" fillId="0" borderId="0" xfId="14" applyNumberFormat="1" applyFont="1" applyFill="1" applyBorder="1" applyProtection="1"/>
    <xf numFmtId="0" fontId="15" fillId="0" borderId="25" xfId="3" applyFont="1" applyBorder="1" applyAlignment="1"/>
    <xf numFmtId="0" fontId="15" fillId="0" borderId="7" xfId="3" applyFont="1" applyBorder="1" applyAlignment="1"/>
    <xf numFmtId="0" fontId="8" fillId="0" borderId="0" xfId="3" applyFont="1" applyFill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13" xfId="0" applyFont="1" applyBorder="1" applyAlignment="1" applyProtection="1">
      <alignment horizontal="right" wrapText="1"/>
      <protection hidden="1"/>
    </xf>
    <xf numFmtId="0" fontId="7" fillId="0" borderId="24" xfId="3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 applyProtection="1">
      <alignment horizontal="left" vertical="center"/>
      <protection locked="0" hidden="1"/>
    </xf>
    <xf numFmtId="0" fontId="7" fillId="0" borderId="16" xfId="3" applyFont="1" applyFill="1" applyBorder="1" applyAlignment="1" applyProtection="1">
      <alignment horizontal="left" vertical="center"/>
      <protection locked="0" hidden="1"/>
    </xf>
    <xf numFmtId="49" fontId="7" fillId="0" borderId="24" xfId="3" applyNumberFormat="1" applyFont="1" applyFill="1" applyBorder="1" applyAlignment="1" applyProtection="1">
      <alignment horizontal="left" vertical="center"/>
      <protection locked="0" hidden="1"/>
    </xf>
    <xf numFmtId="49" fontId="7" fillId="0" borderId="15" xfId="3" applyNumberFormat="1" applyFont="1" applyFill="1" applyBorder="1" applyAlignment="1" applyProtection="1">
      <alignment horizontal="left" vertical="center"/>
      <protection locked="0" hidden="1"/>
    </xf>
    <xf numFmtId="49" fontId="7" fillId="0" borderId="16" xfId="3" applyNumberFormat="1" applyFont="1" applyFill="1" applyBorder="1" applyAlignment="1" applyProtection="1">
      <alignment horizontal="left" vertical="center"/>
      <protection locked="0" hidden="1"/>
    </xf>
    <xf numFmtId="0" fontId="8" fillId="0" borderId="15" xfId="3" applyFont="1" applyFill="1" applyBorder="1" applyAlignment="1">
      <alignment horizontal="left"/>
    </xf>
    <xf numFmtId="0" fontId="8" fillId="0" borderId="16" xfId="3" applyFont="1" applyFill="1" applyBorder="1" applyAlignment="1">
      <alignment horizontal="left"/>
    </xf>
    <xf numFmtId="0" fontId="10" fillId="0" borderId="15" xfId="3" applyFont="1" applyFill="1" applyBorder="1" applyAlignment="1"/>
    <xf numFmtId="0" fontId="10" fillId="0" borderId="16" xfId="3" applyFont="1" applyFill="1" applyBorder="1" applyAlignment="1"/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0" fillId="0" borderId="7" xfId="3" applyFont="1" applyBorder="1" applyAlignment="1" applyProtection="1">
      <alignment horizontal="center"/>
      <protection hidden="1"/>
    </xf>
    <xf numFmtId="49" fontId="7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8" fillId="0" borderId="29" xfId="0" applyFont="1" applyBorder="1" applyAlignment="1" applyProtection="1">
      <alignment horizontal="center" vertical="top"/>
      <protection hidden="1"/>
    </xf>
    <xf numFmtId="0" fontId="8" fillId="0" borderId="29" xfId="0" applyFont="1" applyBorder="1" applyAlignment="1">
      <alignment horizontal="center"/>
    </xf>
    <xf numFmtId="0" fontId="8" fillId="0" borderId="33" xfId="0" applyFont="1" applyBorder="1" applyAlignment="1"/>
    <xf numFmtId="0" fontId="10" fillId="0" borderId="15" xfId="3" applyFont="1" applyFill="1" applyBorder="1" applyAlignment="1" applyProtection="1">
      <alignment horizontal="center" vertical="top"/>
      <protection hidden="1"/>
    </xf>
    <xf numFmtId="0" fontId="10" fillId="0" borderId="15" xfId="3" applyFont="1" applyFill="1" applyBorder="1" applyAlignment="1" applyProtection="1">
      <alignment horizontal="center"/>
      <protection hidden="1"/>
    </xf>
    <xf numFmtId="49" fontId="32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2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2" fillId="0" borderId="16" xfId="3" applyNumberFormat="1" applyFont="1" applyFill="1" applyBorder="1" applyAlignment="1" applyProtection="1">
      <alignment horizontal="left" vertical="center"/>
      <protection locked="0" hidden="1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29" fillId="0" borderId="16" xfId="3" applyFont="1" applyFill="1" applyBorder="1" applyAlignment="1">
      <alignment horizontal="left" vertical="center"/>
    </xf>
    <xf numFmtId="0" fontId="30" fillId="0" borderId="0" xfId="5" applyFont="1" applyBorder="1" applyAlignment="1" applyProtection="1">
      <alignment horizontal="left"/>
      <protection hidden="1"/>
    </xf>
    <xf numFmtId="0" fontId="31" fillId="0" borderId="0" xfId="5" applyFont="1" applyBorder="1" applyAlignment="1"/>
    <xf numFmtId="0" fontId="18" fillId="0" borderId="0" xfId="5" applyFont="1" applyBorder="1" applyAlignment="1" applyProtection="1">
      <alignment horizontal="left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7" fillId="0" borderId="24" xfId="0" applyFont="1" applyFill="1" applyBorder="1" applyAlignment="1" applyProtection="1">
      <alignment horizontal="left" vertical="center"/>
      <protection locked="0" hidden="1"/>
    </xf>
    <xf numFmtId="0" fontId="8" fillId="0" borderId="15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0" borderId="0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right" wrapText="1"/>
      <protection hidden="1"/>
    </xf>
    <xf numFmtId="0" fontId="8" fillId="0" borderId="6" xfId="0" applyFont="1" applyBorder="1" applyAlignment="1" applyProtection="1">
      <alignment horizontal="right" wrapText="1"/>
      <protection hidden="1"/>
    </xf>
    <xf numFmtId="49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right" vertical="center"/>
      <protection hidden="1"/>
    </xf>
    <xf numFmtId="1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24" xfId="2" applyFont="1" applyFill="1" applyBorder="1" applyAlignment="1" applyProtection="1">
      <protection locked="0" hidden="1"/>
    </xf>
    <xf numFmtId="0" fontId="12" fillId="0" borderId="15" xfId="0" applyFont="1" applyFill="1" applyBorder="1" applyAlignment="1" applyProtection="1">
      <protection locked="0" hidden="1"/>
    </xf>
    <xf numFmtId="0" fontId="12" fillId="0" borderId="16" xfId="0" applyFont="1" applyFill="1" applyBorder="1" applyAlignment="1" applyProtection="1">
      <protection locked="0" hidden="1"/>
    </xf>
    <xf numFmtId="0" fontId="9" fillId="0" borderId="24" xfId="2" applyFill="1" applyBorder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7" fillId="0" borderId="16" xfId="0" applyFont="1" applyFill="1" applyBorder="1" applyAlignment="1" applyProtection="1">
      <protection locked="0" hidden="1"/>
    </xf>
    <xf numFmtId="0" fontId="7" fillId="0" borderId="6" xfId="3" applyFont="1" applyFill="1" applyBorder="1" applyAlignment="1" applyProtection="1">
      <alignment horizontal="left" vertical="center" wrapText="1"/>
      <protection hidden="1"/>
    </xf>
    <xf numFmtId="0" fontId="7" fillId="0" borderId="0" xfId="3" applyFont="1" applyFill="1" applyBorder="1" applyAlignment="1" applyProtection="1">
      <alignment horizontal="left" vertical="center" wrapText="1"/>
      <protection hidden="1"/>
    </xf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16" fillId="0" borderId="6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16" fillId="0" borderId="13" xfId="3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right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top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13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4" fillId="0" borderId="0" xfId="5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</cellXfs>
  <cellStyles count="27">
    <cellStyle name="Comma" xfId="1" builtinId="3"/>
    <cellStyle name="Comma 2" xfId="8"/>
    <cellStyle name="Comma 5 2" xfId="15"/>
    <cellStyle name="Comma 5 2 2" xfId="23"/>
    <cellStyle name="Hyperlink" xfId="2" builtinId="8"/>
    <cellStyle name="Hyperlink 2" xfId="16"/>
    <cellStyle name="Normal" xfId="0" builtinId="0"/>
    <cellStyle name="Normal 15 2" xfId="17"/>
    <cellStyle name="Normal 15 2 2" xfId="24"/>
    <cellStyle name="Normal 2" xfId="9"/>
    <cellStyle name="Normal 27" xfId="10"/>
    <cellStyle name="Normal 3" xfId="6"/>
    <cellStyle name="Normal 3 2" xfId="21"/>
    <cellStyle name="Normal 4" xfId="14"/>
    <cellStyle name="Normal 4 2" xfId="22"/>
    <cellStyle name="Normal_TFI-POD" xfId="3"/>
    <cellStyle name="Normalno 2" xfId="26"/>
    <cellStyle name="Normalno 3" xfId="25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view="pageBreakPreview" zoomScaleNormal="100" zoomScaleSheetLayoutView="100" workbookViewId="0">
      <selection activeCell="I22" sqref="I22"/>
    </sheetView>
  </sheetViews>
  <sheetFormatPr defaultColWidth="9.140625" defaultRowHeight="12.75"/>
  <cols>
    <col min="1" max="1" width="9.140625" style="112"/>
    <col min="2" max="2" width="15.85546875" style="112" customWidth="1"/>
    <col min="3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>
      <c r="A1" s="200" t="s">
        <v>21</v>
      </c>
      <c r="B1" s="201"/>
      <c r="C1" s="201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263" t="s">
        <v>22</v>
      </c>
      <c r="B2" s="264"/>
      <c r="C2" s="264"/>
      <c r="D2" s="265"/>
      <c r="E2" s="71">
        <v>43101</v>
      </c>
      <c r="F2" s="11"/>
      <c r="G2" s="12" t="s">
        <v>32</v>
      </c>
      <c r="H2" s="71">
        <v>43373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">
      <c r="A4" s="266" t="s">
        <v>246</v>
      </c>
      <c r="B4" s="267"/>
      <c r="C4" s="267"/>
      <c r="D4" s="267"/>
      <c r="E4" s="267"/>
      <c r="F4" s="267"/>
      <c r="G4" s="267"/>
      <c r="H4" s="267"/>
      <c r="I4" s="268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228" t="s">
        <v>6</v>
      </c>
      <c r="B6" s="229"/>
      <c r="C6" s="249" t="s">
        <v>250</v>
      </c>
      <c r="D6" s="250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69" t="s">
        <v>7</v>
      </c>
      <c r="B8" s="270"/>
      <c r="C8" s="249" t="s">
        <v>251</v>
      </c>
      <c r="D8" s="250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203" t="s">
        <v>8</v>
      </c>
      <c r="B10" s="247"/>
      <c r="C10" s="249" t="s">
        <v>252</v>
      </c>
      <c r="D10" s="250"/>
      <c r="E10" s="14"/>
      <c r="F10" s="14"/>
      <c r="G10" s="14"/>
      <c r="H10" s="14"/>
      <c r="I10" s="59"/>
      <c r="J10" s="9"/>
      <c r="K10" s="9"/>
      <c r="L10" s="9"/>
    </row>
    <row r="11" spans="1:12">
      <c r="A11" s="248"/>
      <c r="B11" s="247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228" t="s">
        <v>9</v>
      </c>
      <c r="B12" s="229"/>
      <c r="C12" s="238" t="s">
        <v>253</v>
      </c>
      <c r="D12" s="252"/>
      <c r="E12" s="252"/>
      <c r="F12" s="252"/>
      <c r="G12" s="252"/>
      <c r="H12" s="252"/>
      <c r="I12" s="253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228" t="s">
        <v>10</v>
      </c>
      <c r="B14" s="254"/>
      <c r="C14" s="255">
        <v>52440</v>
      </c>
      <c r="D14" s="256"/>
      <c r="E14" s="74"/>
      <c r="F14" s="238" t="s">
        <v>254</v>
      </c>
      <c r="G14" s="252"/>
      <c r="H14" s="252"/>
      <c r="I14" s="253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228" t="s">
        <v>11</v>
      </c>
      <c r="B16" s="229"/>
      <c r="C16" s="238" t="s">
        <v>255</v>
      </c>
      <c r="D16" s="252"/>
      <c r="E16" s="252"/>
      <c r="F16" s="252"/>
      <c r="G16" s="252"/>
      <c r="H16" s="252"/>
      <c r="I16" s="253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>
      <c r="A18" s="228" t="s">
        <v>12</v>
      </c>
      <c r="B18" s="229"/>
      <c r="C18" s="257" t="s">
        <v>256</v>
      </c>
      <c r="D18" s="258"/>
      <c r="E18" s="258"/>
      <c r="F18" s="258"/>
      <c r="G18" s="258"/>
      <c r="H18" s="258"/>
      <c r="I18" s="259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228" t="s">
        <v>13</v>
      </c>
      <c r="B20" s="229"/>
      <c r="C20" s="260" t="s">
        <v>265</v>
      </c>
      <c r="D20" s="261"/>
      <c r="E20" s="261"/>
      <c r="F20" s="261"/>
      <c r="G20" s="261"/>
      <c r="H20" s="261"/>
      <c r="I20" s="262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228" t="s">
        <v>14</v>
      </c>
      <c r="B22" s="229"/>
      <c r="C22" s="136">
        <v>348</v>
      </c>
      <c r="D22" s="238" t="s">
        <v>254</v>
      </c>
      <c r="E22" s="239"/>
      <c r="F22" s="240"/>
      <c r="G22" s="228"/>
      <c r="H22" s="251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228" t="s">
        <v>15</v>
      </c>
      <c r="B24" s="229"/>
      <c r="C24" s="136">
        <v>18</v>
      </c>
      <c r="D24" s="238" t="s">
        <v>257</v>
      </c>
      <c r="E24" s="239"/>
      <c r="F24" s="239"/>
      <c r="G24" s="240"/>
      <c r="H24" s="158" t="s">
        <v>25</v>
      </c>
      <c r="I24" s="198">
        <v>4984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228" t="s">
        <v>16</v>
      </c>
      <c r="B26" s="229"/>
      <c r="C26" s="137" t="s">
        <v>258</v>
      </c>
      <c r="D26" s="77"/>
      <c r="E26" s="159"/>
      <c r="F26" s="74"/>
      <c r="G26" s="241" t="s">
        <v>27</v>
      </c>
      <c r="H26" s="229"/>
      <c r="I26" s="115" t="s">
        <v>259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45" t="s">
        <v>23</v>
      </c>
      <c r="B28" s="246"/>
      <c r="C28" s="246"/>
      <c r="D28" s="246"/>
      <c r="E28" s="246"/>
      <c r="F28" s="244" t="s">
        <v>24</v>
      </c>
      <c r="G28" s="244"/>
      <c r="H28" s="242" t="s">
        <v>1</v>
      </c>
      <c r="I28" s="243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205"/>
      <c r="B30" s="211"/>
      <c r="C30" s="211"/>
      <c r="D30" s="212"/>
      <c r="E30" s="205"/>
      <c r="F30" s="211"/>
      <c r="G30" s="212"/>
      <c r="H30" s="218"/>
      <c r="I30" s="219"/>
      <c r="J30" s="9"/>
      <c r="K30" s="9"/>
      <c r="L30" s="9"/>
    </row>
    <row r="31" spans="1:12">
      <c r="A31" s="161"/>
      <c r="B31" s="152"/>
      <c r="C31" s="19"/>
      <c r="D31" s="236"/>
      <c r="E31" s="236"/>
      <c r="F31" s="236"/>
      <c r="G31" s="237"/>
      <c r="H31" s="14"/>
      <c r="I31" s="62"/>
      <c r="J31" s="9"/>
      <c r="K31" s="9"/>
      <c r="L31" s="9"/>
    </row>
    <row r="32" spans="1:12">
      <c r="A32" s="205"/>
      <c r="B32" s="211"/>
      <c r="C32" s="211"/>
      <c r="D32" s="212"/>
      <c r="E32" s="205"/>
      <c r="F32" s="211"/>
      <c r="G32" s="212"/>
      <c r="H32" s="218"/>
      <c r="I32" s="219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205"/>
      <c r="B34" s="211"/>
      <c r="C34" s="211"/>
      <c r="D34" s="212"/>
      <c r="E34" s="205"/>
      <c r="F34" s="211"/>
      <c r="G34" s="212"/>
      <c r="H34" s="218"/>
      <c r="I34" s="219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205"/>
      <c r="B36" s="211"/>
      <c r="C36" s="211"/>
      <c r="D36" s="212"/>
      <c r="E36" s="205"/>
      <c r="F36" s="211"/>
      <c r="G36" s="212"/>
      <c r="H36" s="218"/>
      <c r="I36" s="219"/>
      <c r="J36" s="9"/>
      <c r="K36" s="9"/>
      <c r="L36" s="9"/>
    </row>
    <row r="37" spans="1:12">
      <c r="A37" s="162"/>
      <c r="B37" s="24"/>
      <c r="C37" s="215"/>
      <c r="D37" s="216"/>
      <c r="E37" s="14"/>
      <c r="F37" s="215"/>
      <c r="G37" s="216"/>
      <c r="H37" s="14"/>
      <c r="I37" s="59"/>
      <c r="J37" s="9"/>
      <c r="K37" s="9"/>
      <c r="L37" s="9"/>
    </row>
    <row r="38" spans="1:12">
      <c r="A38" s="205"/>
      <c r="B38" s="211"/>
      <c r="C38" s="211"/>
      <c r="D38" s="212"/>
      <c r="E38" s="205"/>
      <c r="F38" s="211"/>
      <c r="G38" s="212"/>
      <c r="H38" s="218"/>
      <c r="I38" s="219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205"/>
      <c r="B40" s="211"/>
      <c r="C40" s="211"/>
      <c r="D40" s="212"/>
      <c r="E40" s="205"/>
      <c r="F40" s="211"/>
      <c r="G40" s="212"/>
      <c r="H40" s="218"/>
      <c r="I40" s="219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203" t="s">
        <v>17</v>
      </c>
      <c r="B44" s="204"/>
      <c r="C44" s="218"/>
      <c r="D44" s="219"/>
      <c r="E44" s="22"/>
      <c r="F44" s="205"/>
      <c r="G44" s="213"/>
      <c r="H44" s="213"/>
      <c r="I44" s="214"/>
      <c r="J44" s="9"/>
      <c r="K44" s="9"/>
      <c r="L44" s="9"/>
    </row>
    <row r="45" spans="1:12">
      <c r="A45" s="162"/>
      <c r="B45" s="24"/>
      <c r="C45" s="215"/>
      <c r="D45" s="216"/>
      <c r="E45" s="14"/>
      <c r="F45" s="215"/>
      <c r="G45" s="217"/>
      <c r="H45" s="27"/>
      <c r="I45" s="66"/>
      <c r="J45" s="9"/>
      <c r="K45" s="9"/>
      <c r="L45" s="9"/>
    </row>
    <row r="46" spans="1:12" ht="12.75" customHeight="1">
      <c r="A46" s="203" t="s">
        <v>18</v>
      </c>
      <c r="B46" s="204"/>
      <c r="C46" s="205" t="s">
        <v>260</v>
      </c>
      <c r="D46" s="206"/>
      <c r="E46" s="206"/>
      <c r="F46" s="206"/>
      <c r="G46" s="206"/>
      <c r="H46" s="206"/>
      <c r="I46" s="207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203" t="s">
        <v>19</v>
      </c>
      <c r="B48" s="204"/>
      <c r="C48" s="208" t="s">
        <v>261</v>
      </c>
      <c r="D48" s="209"/>
      <c r="E48" s="210"/>
      <c r="F48" s="14"/>
      <c r="G48" s="34" t="s">
        <v>2</v>
      </c>
      <c r="H48" s="208" t="s">
        <v>262</v>
      </c>
      <c r="I48" s="210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203" t="s">
        <v>12</v>
      </c>
      <c r="B50" s="204"/>
      <c r="C50" s="225" t="s">
        <v>263</v>
      </c>
      <c r="D50" s="226"/>
      <c r="E50" s="226"/>
      <c r="F50" s="226"/>
      <c r="G50" s="226"/>
      <c r="H50" s="226"/>
      <c r="I50" s="227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228" t="s">
        <v>20</v>
      </c>
      <c r="B52" s="229"/>
      <c r="C52" s="208" t="s">
        <v>270</v>
      </c>
      <c r="D52" s="209"/>
      <c r="E52" s="209"/>
      <c r="F52" s="209"/>
      <c r="G52" s="209"/>
      <c r="H52" s="209"/>
      <c r="I52" s="230"/>
      <c r="J52" s="9"/>
      <c r="K52" s="9"/>
      <c r="L52" s="9"/>
    </row>
    <row r="53" spans="1:12">
      <c r="A53" s="165"/>
      <c r="B53" s="18"/>
      <c r="C53" s="202" t="s">
        <v>29</v>
      </c>
      <c r="D53" s="202"/>
      <c r="E53" s="202"/>
      <c r="F53" s="202"/>
      <c r="G53" s="202"/>
      <c r="H53" s="202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>
      <c r="A55" s="165"/>
      <c r="B55" s="231" t="s">
        <v>266</v>
      </c>
      <c r="C55" s="232"/>
      <c r="D55" s="232"/>
      <c r="E55" s="232"/>
      <c r="F55" s="173"/>
      <c r="G55" s="173"/>
      <c r="H55" s="173"/>
      <c r="I55" s="174"/>
      <c r="J55" s="9"/>
      <c r="K55" s="9"/>
      <c r="L55" s="9"/>
    </row>
    <row r="56" spans="1:12">
      <c r="A56" s="165"/>
      <c r="B56" s="233" t="s">
        <v>267</v>
      </c>
      <c r="C56" s="234"/>
      <c r="D56" s="234"/>
      <c r="E56" s="234"/>
      <c r="F56" s="234"/>
      <c r="G56" s="234"/>
      <c r="H56" s="234"/>
      <c r="I56" s="235"/>
      <c r="J56" s="9"/>
      <c r="K56" s="9"/>
      <c r="L56" s="9"/>
    </row>
    <row r="57" spans="1:12">
      <c r="A57" s="165"/>
      <c r="B57" s="233" t="s">
        <v>268</v>
      </c>
      <c r="C57" s="234"/>
      <c r="D57" s="234"/>
      <c r="E57" s="234"/>
      <c r="F57" s="234"/>
      <c r="G57" s="234"/>
      <c r="H57" s="234"/>
      <c r="I57" s="174"/>
      <c r="J57" s="9"/>
      <c r="K57" s="9"/>
      <c r="L57" s="9"/>
    </row>
    <row r="58" spans="1:12">
      <c r="A58" s="165"/>
      <c r="B58" s="233" t="s">
        <v>269</v>
      </c>
      <c r="C58" s="234"/>
      <c r="D58" s="234"/>
      <c r="E58" s="234"/>
      <c r="F58" s="234"/>
      <c r="G58" s="234"/>
      <c r="H58" s="234"/>
      <c r="I58" s="235"/>
      <c r="J58" s="9"/>
      <c r="K58" s="9"/>
      <c r="L58" s="9"/>
    </row>
    <row r="59" spans="1:12">
      <c r="A59" s="165"/>
      <c r="B59" s="233" t="s">
        <v>288</v>
      </c>
      <c r="C59" s="234"/>
      <c r="D59" s="234"/>
      <c r="E59" s="234"/>
      <c r="F59" s="234"/>
      <c r="G59" s="234"/>
      <c r="H59" s="234"/>
      <c r="I59" s="235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5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20" t="s">
        <v>31</v>
      </c>
      <c r="H62" s="221"/>
      <c r="I62" s="222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23"/>
      <c r="H63" s="224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6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tabSelected="1" view="pageBreakPreview" topLeftCell="A97" zoomScaleNormal="100" zoomScaleSheetLayoutView="100" workbookViewId="0">
      <selection activeCell="D83" sqref="D83"/>
    </sheetView>
  </sheetViews>
  <sheetFormatPr defaultColWidth="9.140625" defaultRowHeight="12.75"/>
  <cols>
    <col min="1" max="1" width="72.85546875" style="113" bestFit="1" customWidth="1"/>
    <col min="2" max="2" width="9.140625" style="35"/>
    <col min="3" max="4" width="12.7109375" style="35" customWidth="1"/>
    <col min="5" max="5" width="12.85546875" style="35" bestFit="1" customWidth="1"/>
    <col min="6" max="16384" width="9.140625" style="35"/>
  </cols>
  <sheetData>
    <row r="1" spans="1:5" ht="12.75" customHeight="1">
      <c r="A1" s="271" t="s">
        <v>244</v>
      </c>
      <c r="B1" s="271"/>
      <c r="C1" s="271"/>
      <c r="D1" s="271"/>
    </row>
    <row r="2" spans="1:5" ht="12.75" customHeight="1">
      <c r="A2" s="272" t="s">
        <v>294</v>
      </c>
      <c r="B2" s="272"/>
      <c r="C2" s="272"/>
      <c r="D2" s="272"/>
    </row>
    <row r="3" spans="1:5" ht="12.75" customHeight="1">
      <c r="A3" s="94" t="s">
        <v>264</v>
      </c>
      <c r="B3" s="95"/>
      <c r="C3" s="96"/>
      <c r="D3" s="96"/>
    </row>
    <row r="4" spans="1:5" ht="22.7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185">
        <f>C9+C16+C26+C35+C39</f>
        <v>4321068373</v>
      </c>
      <c r="D8" s="185">
        <f>D9+D16+D26+D35+D39</f>
        <v>4736218499</v>
      </c>
      <c r="E8" s="78"/>
    </row>
    <row r="9" spans="1:5" ht="12.75" customHeight="1">
      <c r="A9" s="184" t="s">
        <v>271</v>
      </c>
      <c r="B9" s="1">
        <v>3</v>
      </c>
      <c r="C9" s="185">
        <f>SUM(C10:C15)</f>
        <v>44533715</v>
      </c>
      <c r="D9" s="185">
        <f>SUM(D10:D15)</f>
        <v>51907806</v>
      </c>
      <c r="E9" s="78"/>
    </row>
    <row r="10" spans="1:5">
      <c r="A10" s="91" t="s">
        <v>40</v>
      </c>
      <c r="B10" s="1">
        <v>4</v>
      </c>
      <c r="C10" s="186"/>
      <c r="D10" s="186"/>
      <c r="E10" s="78"/>
    </row>
    <row r="11" spans="1:5" ht="12.75" customHeight="1">
      <c r="A11" s="91" t="s">
        <v>41</v>
      </c>
      <c r="B11" s="1">
        <v>5</v>
      </c>
      <c r="C11" s="186">
        <v>37646206</v>
      </c>
      <c r="D11" s="186">
        <v>36796098</v>
      </c>
      <c r="E11" s="78"/>
    </row>
    <row r="12" spans="1:5">
      <c r="A12" s="91" t="s">
        <v>0</v>
      </c>
      <c r="B12" s="1">
        <v>6</v>
      </c>
      <c r="C12" s="186">
        <v>6567609</v>
      </c>
      <c r="D12" s="186">
        <v>6567609</v>
      </c>
      <c r="E12" s="78"/>
    </row>
    <row r="13" spans="1:5">
      <c r="A13" s="91" t="s">
        <v>42</v>
      </c>
      <c r="B13" s="1">
        <v>7</v>
      </c>
      <c r="C13" s="186"/>
      <c r="D13" s="186"/>
      <c r="E13" s="78"/>
    </row>
    <row r="14" spans="1:5">
      <c r="A14" s="91" t="s">
        <v>43</v>
      </c>
      <c r="B14" s="1">
        <v>8</v>
      </c>
      <c r="C14" s="186">
        <v>319900</v>
      </c>
      <c r="D14" s="186">
        <v>8544099</v>
      </c>
      <c r="E14" s="78"/>
    </row>
    <row r="15" spans="1:5">
      <c r="A15" s="91" t="s">
        <v>44</v>
      </c>
      <c r="B15" s="1">
        <v>9</v>
      </c>
      <c r="C15" s="186"/>
      <c r="D15" s="186"/>
      <c r="E15" s="78"/>
    </row>
    <row r="16" spans="1:5">
      <c r="A16" s="184" t="s">
        <v>272</v>
      </c>
      <c r="B16" s="1">
        <v>10</v>
      </c>
      <c r="C16" s="185">
        <f>SUM(C17:C25)</f>
        <v>3697439264</v>
      </c>
      <c r="D16" s="185">
        <f>D17+D18+D19+D20+D21+D22+D23+D24+D25</f>
        <v>3947640070</v>
      </c>
      <c r="E16" s="78"/>
    </row>
    <row r="17" spans="1:5">
      <c r="A17" s="91" t="s">
        <v>45</v>
      </c>
      <c r="B17" s="1">
        <v>11</v>
      </c>
      <c r="C17" s="186">
        <v>633926337</v>
      </c>
      <c r="D17" s="186">
        <v>645344932</v>
      </c>
      <c r="E17" s="78"/>
    </row>
    <row r="18" spans="1:5">
      <c r="A18" s="91" t="s">
        <v>46</v>
      </c>
      <c r="B18" s="1">
        <v>12</v>
      </c>
      <c r="C18" s="186">
        <v>2416617894</v>
      </c>
      <c r="D18" s="186">
        <v>2314833014</v>
      </c>
      <c r="E18" s="78"/>
    </row>
    <row r="19" spans="1:5">
      <c r="A19" s="91" t="s">
        <v>47</v>
      </c>
      <c r="B19" s="1">
        <v>13</v>
      </c>
      <c r="C19" s="186">
        <v>345844344</v>
      </c>
      <c r="D19" s="186">
        <v>351055256</v>
      </c>
      <c r="E19" s="78"/>
    </row>
    <row r="20" spans="1:5">
      <c r="A20" s="91" t="s">
        <v>48</v>
      </c>
      <c r="B20" s="1">
        <v>14</v>
      </c>
      <c r="C20" s="186">
        <v>89672494</v>
      </c>
      <c r="D20" s="186">
        <v>121077319</v>
      </c>
      <c r="E20" s="78"/>
    </row>
    <row r="21" spans="1:5">
      <c r="A21" s="91" t="s">
        <v>49</v>
      </c>
      <c r="B21" s="1">
        <v>15</v>
      </c>
      <c r="C21" s="186"/>
      <c r="D21" s="186"/>
      <c r="E21" s="78"/>
    </row>
    <row r="22" spans="1:5">
      <c r="A22" s="91" t="s">
        <v>50</v>
      </c>
      <c r="B22" s="1">
        <v>16</v>
      </c>
      <c r="C22" s="186">
        <v>23166558</v>
      </c>
      <c r="D22" s="186">
        <v>26465334</v>
      </c>
      <c r="E22" s="78"/>
    </row>
    <row r="23" spans="1:5">
      <c r="A23" s="91" t="s">
        <v>51</v>
      </c>
      <c r="B23" s="1">
        <v>17</v>
      </c>
      <c r="C23" s="186">
        <v>137209673</v>
      </c>
      <c r="D23" s="186">
        <v>442542761</v>
      </c>
      <c r="E23" s="78"/>
    </row>
    <row r="24" spans="1:5">
      <c r="A24" s="91" t="s">
        <v>52</v>
      </c>
      <c r="B24" s="1">
        <v>18</v>
      </c>
      <c r="C24" s="186">
        <v>40747606</v>
      </c>
      <c r="D24" s="186">
        <v>36527509</v>
      </c>
      <c r="E24" s="78"/>
    </row>
    <row r="25" spans="1:5">
      <c r="A25" s="91" t="s">
        <v>53</v>
      </c>
      <c r="B25" s="1">
        <v>19</v>
      </c>
      <c r="C25" s="186">
        <v>10254358</v>
      </c>
      <c r="D25" s="186">
        <v>9793945</v>
      </c>
      <c r="E25" s="78"/>
    </row>
    <row r="26" spans="1:5">
      <c r="A26" s="184" t="s">
        <v>273</v>
      </c>
      <c r="B26" s="1">
        <v>20</v>
      </c>
      <c r="C26" s="185">
        <f>SUM(C27:C34)</f>
        <v>456347314</v>
      </c>
      <c r="D26" s="185">
        <f>D27+D28+D29+D30+D31+D32+D33+D34</f>
        <v>613957081</v>
      </c>
      <c r="E26" s="78"/>
    </row>
    <row r="27" spans="1:5">
      <c r="A27" s="91" t="s">
        <v>54</v>
      </c>
      <c r="B27" s="1">
        <v>21</v>
      </c>
      <c r="C27" s="186">
        <v>452395427</v>
      </c>
      <c r="D27" s="186">
        <v>609924170</v>
      </c>
      <c r="E27" s="78"/>
    </row>
    <row r="28" spans="1:5">
      <c r="A28" s="91" t="s">
        <v>55</v>
      </c>
      <c r="B28" s="1">
        <v>22</v>
      </c>
      <c r="C28" s="186"/>
      <c r="D28" s="186"/>
      <c r="E28" s="78"/>
    </row>
    <row r="29" spans="1:5">
      <c r="A29" s="91" t="s">
        <v>56</v>
      </c>
      <c r="B29" s="1">
        <v>23</v>
      </c>
      <c r="C29" s="186">
        <v>140000</v>
      </c>
      <c r="D29" s="186">
        <v>140000</v>
      </c>
      <c r="E29" s="78"/>
    </row>
    <row r="30" spans="1:5">
      <c r="A30" s="91" t="s">
        <v>57</v>
      </c>
      <c r="B30" s="1">
        <v>24</v>
      </c>
      <c r="C30" s="186"/>
      <c r="D30" s="186"/>
      <c r="E30" s="78"/>
    </row>
    <row r="31" spans="1:5">
      <c r="A31" s="91" t="s">
        <v>58</v>
      </c>
      <c r="B31" s="1">
        <v>25</v>
      </c>
      <c r="C31" s="186">
        <v>3620830</v>
      </c>
      <c r="D31" s="186">
        <v>3786258</v>
      </c>
      <c r="E31" s="78"/>
    </row>
    <row r="32" spans="1:5">
      <c r="A32" s="91" t="s">
        <v>59</v>
      </c>
      <c r="B32" s="1">
        <v>26</v>
      </c>
      <c r="C32" s="186">
        <v>191057</v>
      </c>
      <c r="D32" s="186">
        <v>106653</v>
      </c>
      <c r="E32" s="78"/>
    </row>
    <row r="33" spans="1:5">
      <c r="A33" s="91" t="s">
        <v>60</v>
      </c>
      <c r="B33" s="1">
        <v>27</v>
      </c>
      <c r="C33" s="186"/>
      <c r="D33" s="186"/>
      <c r="E33" s="78"/>
    </row>
    <row r="34" spans="1:5">
      <c r="A34" s="91" t="s">
        <v>61</v>
      </c>
      <c r="B34" s="1">
        <v>28</v>
      </c>
      <c r="C34" s="186"/>
      <c r="D34" s="186"/>
      <c r="E34" s="78"/>
    </row>
    <row r="35" spans="1:5">
      <c r="A35" s="184" t="s">
        <v>274</v>
      </c>
      <c r="B35" s="1">
        <v>29</v>
      </c>
      <c r="C35" s="185">
        <f>SUM(C36:C38)</f>
        <v>188176</v>
      </c>
      <c r="D35" s="185">
        <f>D36+D37+D38</f>
        <v>153638</v>
      </c>
      <c r="E35" s="78"/>
    </row>
    <row r="36" spans="1:5">
      <c r="A36" s="91" t="s">
        <v>62</v>
      </c>
      <c r="B36" s="1">
        <v>30</v>
      </c>
      <c r="C36" s="186"/>
      <c r="D36" s="186"/>
      <c r="E36" s="78"/>
    </row>
    <row r="37" spans="1:5">
      <c r="A37" s="91" t="s">
        <v>63</v>
      </c>
      <c r="B37" s="1">
        <v>31</v>
      </c>
      <c r="C37" s="186"/>
      <c r="D37" s="186"/>
      <c r="E37" s="78"/>
    </row>
    <row r="38" spans="1:5">
      <c r="A38" s="91" t="s">
        <v>64</v>
      </c>
      <c r="B38" s="1">
        <v>32</v>
      </c>
      <c r="C38" s="186">
        <v>188176</v>
      </c>
      <c r="D38" s="186">
        <v>153638</v>
      </c>
      <c r="E38" s="78"/>
    </row>
    <row r="39" spans="1:5">
      <c r="A39" s="91" t="s">
        <v>65</v>
      </c>
      <c r="B39" s="1">
        <v>33</v>
      </c>
      <c r="C39" s="186">
        <v>122559904</v>
      </c>
      <c r="D39" s="186">
        <v>122559904</v>
      </c>
      <c r="E39" s="78"/>
    </row>
    <row r="40" spans="1:5">
      <c r="A40" s="80" t="s">
        <v>66</v>
      </c>
      <c r="B40" s="1">
        <v>34</v>
      </c>
      <c r="C40" s="185">
        <f>C41+C49+C56+C64</f>
        <v>291552583</v>
      </c>
      <c r="D40" s="185">
        <f>D41+D49+D56+D64</f>
        <v>483608713</v>
      </c>
      <c r="E40" s="78"/>
    </row>
    <row r="41" spans="1:5">
      <c r="A41" s="184" t="s">
        <v>275</v>
      </c>
      <c r="B41" s="1">
        <v>35</v>
      </c>
      <c r="C41" s="185">
        <f>SUM(C42:C48)</f>
        <v>23913513</v>
      </c>
      <c r="D41" s="185">
        <f>D42+D43+D44+D45+D46+D47+D48</f>
        <v>19959841</v>
      </c>
      <c r="E41" s="78"/>
    </row>
    <row r="42" spans="1:5">
      <c r="A42" s="91" t="s">
        <v>67</v>
      </c>
      <c r="B42" s="1">
        <v>36</v>
      </c>
      <c r="C42" s="186">
        <v>23767779</v>
      </c>
      <c r="D42" s="186">
        <v>19468392</v>
      </c>
      <c r="E42" s="78"/>
    </row>
    <row r="43" spans="1:5">
      <c r="A43" s="91" t="s">
        <v>68</v>
      </c>
      <c r="B43" s="1">
        <v>37</v>
      </c>
      <c r="C43" s="186"/>
      <c r="D43" s="186"/>
      <c r="E43" s="78"/>
    </row>
    <row r="44" spans="1:5">
      <c r="A44" s="91" t="s">
        <v>69</v>
      </c>
      <c r="B44" s="1">
        <v>38</v>
      </c>
      <c r="C44" s="186"/>
      <c r="D44" s="186"/>
      <c r="E44" s="78"/>
    </row>
    <row r="45" spans="1:5">
      <c r="A45" s="91" t="s">
        <v>70</v>
      </c>
      <c r="B45" s="1">
        <v>39</v>
      </c>
      <c r="C45" s="186">
        <v>145734</v>
      </c>
      <c r="D45" s="186">
        <v>491449</v>
      </c>
      <c r="E45" s="78"/>
    </row>
    <row r="46" spans="1:5">
      <c r="A46" s="91" t="s">
        <v>71</v>
      </c>
      <c r="B46" s="1">
        <v>40</v>
      </c>
      <c r="C46" s="186"/>
      <c r="D46" s="186"/>
      <c r="E46" s="78"/>
    </row>
    <row r="47" spans="1:5">
      <c r="A47" s="91" t="s">
        <v>72</v>
      </c>
      <c r="B47" s="1">
        <v>41</v>
      </c>
      <c r="C47" s="186"/>
      <c r="D47" s="186"/>
      <c r="E47" s="78"/>
    </row>
    <row r="48" spans="1:5">
      <c r="A48" s="91" t="s">
        <v>73</v>
      </c>
      <c r="B48" s="1">
        <v>42</v>
      </c>
      <c r="C48" s="186"/>
      <c r="D48" s="186"/>
      <c r="E48" s="78"/>
    </row>
    <row r="49" spans="1:5">
      <c r="A49" s="184" t="s">
        <v>276</v>
      </c>
      <c r="B49" s="1">
        <v>43</v>
      </c>
      <c r="C49" s="185">
        <f>SUM(C50:C55)</f>
        <v>29405487</v>
      </c>
      <c r="D49" s="185">
        <f>D50+D51+D52+D53+D54+D55</f>
        <v>120587015</v>
      </c>
      <c r="E49" s="78"/>
    </row>
    <row r="50" spans="1:5">
      <c r="A50" s="91" t="s">
        <v>74</v>
      </c>
      <c r="B50" s="1">
        <v>44</v>
      </c>
      <c r="C50" s="186">
        <v>3392515</v>
      </c>
      <c r="D50" s="186">
        <v>2426619</v>
      </c>
      <c r="E50" s="78"/>
    </row>
    <row r="51" spans="1:5">
      <c r="A51" s="91" t="s">
        <v>75</v>
      </c>
      <c r="B51" s="1">
        <v>45</v>
      </c>
      <c r="C51" s="186">
        <v>12221884</v>
      </c>
      <c r="D51" s="186">
        <v>109365503</v>
      </c>
      <c r="E51" s="78"/>
    </row>
    <row r="52" spans="1:5">
      <c r="A52" s="91" t="s">
        <v>76</v>
      </c>
      <c r="B52" s="1">
        <v>46</v>
      </c>
      <c r="C52" s="186"/>
      <c r="D52" s="186"/>
      <c r="E52" s="78"/>
    </row>
    <row r="53" spans="1:5">
      <c r="A53" s="91" t="s">
        <v>77</v>
      </c>
      <c r="B53" s="1">
        <v>47</v>
      </c>
      <c r="C53" s="186">
        <v>1171905</v>
      </c>
      <c r="D53" s="186">
        <v>4815269</v>
      </c>
      <c r="E53" s="78"/>
    </row>
    <row r="54" spans="1:5">
      <c r="A54" s="91" t="s">
        <v>78</v>
      </c>
      <c r="B54" s="1">
        <v>48</v>
      </c>
      <c r="C54" s="186">
        <v>10812531</v>
      </c>
      <c r="D54" s="186">
        <v>342078</v>
      </c>
      <c r="E54" s="78"/>
    </row>
    <row r="55" spans="1:5">
      <c r="A55" s="91" t="s">
        <v>79</v>
      </c>
      <c r="B55" s="1">
        <v>49</v>
      </c>
      <c r="C55" s="186">
        <v>1806652</v>
      </c>
      <c r="D55" s="186">
        <v>3637546</v>
      </c>
      <c r="E55" s="78"/>
    </row>
    <row r="56" spans="1:5">
      <c r="A56" s="184" t="s">
        <v>277</v>
      </c>
      <c r="B56" s="1">
        <v>50</v>
      </c>
      <c r="C56" s="185">
        <f>SUM(C57:C63)</f>
        <v>832773</v>
      </c>
      <c r="D56" s="185">
        <f>D57+D58+D59+D60+D61+D62+D63</f>
        <v>15938592</v>
      </c>
      <c r="E56" s="78"/>
    </row>
    <row r="57" spans="1:5">
      <c r="A57" s="91" t="s">
        <v>54</v>
      </c>
      <c r="B57" s="1">
        <v>51</v>
      </c>
      <c r="C57" s="186"/>
      <c r="D57" s="186"/>
      <c r="E57" s="78"/>
    </row>
    <row r="58" spans="1:5">
      <c r="A58" s="91" t="s">
        <v>55</v>
      </c>
      <c r="B58" s="1">
        <v>52</v>
      </c>
      <c r="C58" s="186">
        <v>25800</v>
      </c>
      <c r="D58" s="186">
        <v>28300</v>
      </c>
      <c r="E58" s="78"/>
    </row>
    <row r="59" spans="1:5">
      <c r="A59" s="91" t="s">
        <v>56</v>
      </c>
      <c r="B59" s="1">
        <v>53</v>
      </c>
      <c r="C59" s="186"/>
      <c r="D59" s="186"/>
      <c r="E59" s="78"/>
    </row>
    <row r="60" spans="1:5">
      <c r="A60" s="91" t="s">
        <v>57</v>
      </c>
      <c r="B60" s="1">
        <v>54</v>
      </c>
      <c r="C60" s="186"/>
      <c r="D60" s="186"/>
      <c r="E60" s="78"/>
    </row>
    <row r="61" spans="1:5">
      <c r="A61" s="91" t="s">
        <v>58</v>
      </c>
      <c r="B61" s="1">
        <v>55</v>
      </c>
      <c r="C61" s="186"/>
      <c r="D61" s="186"/>
      <c r="E61" s="78"/>
    </row>
    <row r="62" spans="1:5">
      <c r="A62" s="91" t="s">
        <v>59</v>
      </c>
      <c r="B62" s="1">
        <v>56</v>
      </c>
      <c r="C62" s="186">
        <v>702891</v>
      </c>
      <c r="D62" s="186">
        <v>15493919</v>
      </c>
      <c r="E62" s="78"/>
    </row>
    <row r="63" spans="1:5">
      <c r="A63" s="91" t="s">
        <v>80</v>
      </c>
      <c r="B63" s="1">
        <v>57</v>
      </c>
      <c r="C63" s="186">
        <v>104082</v>
      </c>
      <c r="D63" s="186">
        <v>416373</v>
      </c>
      <c r="E63" s="78"/>
    </row>
    <row r="64" spans="1:5">
      <c r="A64" s="123" t="s">
        <v>81</v>
      </c>
      <c r="B64" s="1">
        <v>58</v>
      </c>
      <c r="C64" s="186">
        <v>237400810</v>
      </c>
      <c r="D64" s="186">
        <v>327123265</v>
      </c>
      <c r="E64" s="78"/>
    </row>
    <row r="65" spans="1:5">
      <c r="A65" s="80" t="s">
        <v>82</v>
      </c>
      <c r="B65" s="1">
        <v>59</v>
      </c>
      <c r="C65" s="186">
        <v>19416287</v>
      </c>
      <c r="D65" s="186">
        <v>55368373</v>
      </c>
      <c r="E65" s="78"/>
    </row>
    <row r="66" spans="1:5">
      <c r="A66" s="80" t="s">
        <v>83</v>
      </c>
      <c r="B66" s="1">
        <v>60</v>
      </c>
      <c r="C66" s="185">
        <f>C7+C8+C40+C65</f>
        <v>4632037243</v>
      </c>
      <c r="D66" s="185">
        <f>D8+D40+D65</f>
        <v>5275195585</v>
      </c>
      <c r="E66" s="78"/>
    </row>
    <row r="67" spans="1:5">
      <c r="A67" s="92" t="s">
        <v>84</v>
      </c>
      <c r="B67" s="4">
        <v>61</v>
      </c>
      <c r="C67" s="7">
        <v>54545066</v>
      </c>
      <c r="D67" s="7">
        <v>54479411</v>
      </c>
      <c r="E67" s="78"/>
    </row>
    <row r="68" spans="1:5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2395468296</v>
      </c>
      <c r="D69" s="120">
        <f>D70+D71+D72+D78+D79+D82+D85</f>
        <v>2773979604</v>
      </c>
      <c r="E69" s="78"/>
    </row>
    <row r="70" spans="1:5">
      <c r="A70" s="91" t="s">
        <v>86</v>
      </c>
      <c r="B70" s="1">
        <v>63</v>
      </c>
      <c r="C70" s="186">
        <v>1672021210</v>
      </c>
      <c r="D70" s="186">
        <v>1672021210</v>
      </c>
      <c r="E70" s="78"/>
    </row>
    <row r="71" spans="1:5">
      <c r="A71" s="91" t="s">
        <v>87</v>
      </c>
      <c r="B71" s="1">
        <v>64</v>
      </c>
      <c r="C71" s="186">
        <v>3602906</v>
      </c>
      <c r="D71" s="186">
        <v>5302235</v>
      </c>
      <c r="E71" s="78"/>
    </row>
    <row r="72" spans="1:5">
      <c r="A72" s="91" t="s">
        <v>88</v>
      </c>
      <c r="B72" s="1">
        <v>65</v>
      </c>
      <c r="C72" s="185">
        <f>C73+C74-C75+C76+C77</f>
        <v>102055847</v>
      </c>
      <c r="D72" s="185">
        <f>+D73+D74-D75+D76+D77</f>
        <v>98943075</v>
      </c>
      <c r="E72" s="78"/>
    </row>
    <row r="73" spans="1:5">
      <c r="A73" s="91" t="s">
        <v>89</v>
      </c>
      <c r="B73" s="1">
        <v>66</v>
      </c>
      <c r="C73" s="186">
        <v>83601061</v>
      </c>
      <c r="D73" s="186">
        <v>83601061</v>
      </c>
      <c r="E73" s="78"/>
    </row>
    <row r="74" spans="1:5">
      <c r="A74" s="91" t="s">
        <v>90</v>
      </c>
      <c r="B74" s="1">
        <v>67</v>
      </c>
      <c r="C74" s="186">
        <v>44815284</v>
      </c>
      <c r="D74" s="186">
        <v>56815284</v>
      </c>
      <c r="E74" s="78"/>
    </row>
    <row r="75" spans="1:5">
      <c r="A75" s="91" t="s">
        <v>91</v>
      </c>
      <c r="B75" s="1">
        <v>68</v>
      </c>
      <c r="C75" s="186">
        <v>35889621</v>
      </c>
      <c r="D75" s="186">
        <v>51002393</v>
      </c>
      <c r="E75" s="78"/>
    </row>
    <row r="76" spans="1:5">
      <c r="A76" s="91" t="s">
        <v>92</v>
      </c>
      <c r="B76" s="1">
        <v>69</v>
      </c>
      <c r="C76" s="186"/>
      <c r="D76" s="186"/>
      <c r="E76" s="78"/>
    </row>
    <row r="77" spans="1:5">
      <c r="A77" s="91" t="s">
        <v>93</v>
      </c>
      <c r="B77" s="1">
        <v>70</v>
      </c>
      <c r="C77" s="186">
        <v>9529123</v>
      </c>
      <c r="D77" s="186">
        <v>9529123</v>
      </c>
      <c r="E77" s="78"/>
    </row>
    <row r="78" spans="1:5">
      <c r="A78" s="91" t="s">
        <v>94</v>
      </c>
      <c r="B78" s="1">
        <v>71</v>
      </c>
      <c r="C78" s="186">
        <v>634097</v>
      </c>
      <c r="D78" s="186">
        <v>766439</v>
      </c>
      <c r="E78" s="78"/>
    </row>
    <row r="79" spans="1:5">
      <c r="A79" s="91" t="s">
        <v>95</v>
      </c>
      <c r="B79" s="1">
        <v>72</v>
      </c>
      <c r="C79" s="185">
        <f>C80-C81</f>
        <v>385175162</v>
      </c>
      <c r="D79" s="185">
        <f>+D80-D81</f>
        <v>493424087</v>
      </c>
      <c r="E79" s="78"/>
    </row>
    <row r="80" spans="1:5">
      <c r="A80" s="91" t="s">
        <v>96</v>
      </c>
      <c r="B80" s="1">
        <v>73</v>
      </c>
      <c r="C80" s="186">
        <v>385175162</v>
      </c>
      <c r="D80" s="186">
        <v>493424087</v>
      </c>
      <c r="E80" s="78"/>
    </row>
    <row r="81" spans="1:5">
      <c r="A81" s="91" t="s">
        <v>97</v>
      </c>
      <c r="B81" s="1">
        <v>74</v>
      </c>
      <c r="C81" s="186"/>
      <c r="D81" s="189"/>
      <c r="E81" s="78"/>
    </row>
    <row r="82" spans="1:5">
      <c r="A82" s="91" t="s">
        <v>98</v>
      </c>
      <c r="B82" s="1">
        <v>75</v>
      </c>
      <c r="C82" s="185">
        <f>C83-C84</f>
        <v>231979074</v>
      </c>
      <c r="D82" s="185">
        <f>+D83-D84</f>
        <v>503522558</v>
      </c>
      <c r="E82" s="78"/>
    </row>
    <row r="83" spans="1:5">
      <c r="A83" s="91" t="s">
        <v>99</v>
      </c>
      <c r="B83" s="1">
        <v>76</v>
      </c>
      <c r="C83" s="188">
        <v>231979074</v>
      </c>
      <c r="D83" s="186">
        <v>503522558</v>
      </c>
      <c r="E83" s="78"/>
    </row>
    <row r="84" spans="1:5">
      <c r="A84" s="91" t="s">
        <v>100</v>
      </c>
      <c r="B84" s="1">
        <v>77</v>
      </c>
      <c r="C84" s="186"/>
      <c r="D84" s="186"/>
      <c r="E84" s="78"/>
    </row>
    <row r="85" spans="1:5">
      <c r="A85" s="91" t="s">
        <v>101</v>
      </c>
      <c r="B85" s="1">
        <v>78</v>
      </c>
      <c r="C85" s="186"/>
      <c r="D85" s="186"/>
      <c r="E85" s="78"/>
    </row>
    <row r="86" spans="1:5">
      <c r="A86" s="80" t="s">
        <v>278</v>
      </c>
      <c r="B86" s="1">
        <v>79</v>
      </c>
      <c r="C86" s="185">
        <f>SUM(C87:C89)</f>
        <v>31597492</v>
      </c>
      <c r="D86" s="185">
        <f>SUM(D87:D89)</f>
        <v>31523068</v>
      </c>
      <c r="E86" s="78"/>
    </row>
    <row r="87" spans="1:5">
      <c r="A87" s="91" t="s">
        <v>102</v>
      </c>
      <c r="B87" s="1">
        <v>80</v>
      </c>
      <c r="C87" s="186">
        <v>4665359</v>
      </c>
      <c r="D87" s="186">
        <v>4665359</v>
      </c>
      <c r="E87" s="78"/>
    </row>
    <row r="88" spans="1:5">
      <c r="A88" s="91" t="s">
        <v>103</v>
      </c>
      <c r="B88" s="1">
        <v>81</v>
      </c>
      <c r="C88" s="186"/>
      <c r="D88" s="186"/>
      <c r="E88" s="78"/>
    </row>
    <row r="89" spans="1:5">
      <c r="A89" s="91" t="s">
        <v>104</v>
      </c>
      <c r="B89" s="1">
        <v>82</v>
      </c>
      <c r="C89" s="186">
        <v>26932133</v>
      </c>
      <c r="D89" s="186">
        <v>26857709</v>
      </c>
      <c r="E89" s="78"/>
    </row>
    <row r="90" spans="1:5">
      <c r="A90" s="80" t="s">
        <v>279</v>
      </c>
      <c r="B90" s="1">
        <v>83</v>
      </c>
      <c r="C90" s="185">
        <f>SUM(C91:C99)</f>
        <v>1739431226</v>
      </c>
      <c r="D90" s="185">
        <f>D91+D92+D93+D94+D95+D96+D97+D98+D99</f>
        <v>2063010945</v>
      </c>
      <c r="E90" s="78"/>
    </row>
    <row r="91" spans="1:5">
      <c r="A91" s="91" t="s">
        <v>105</v>
      </c>
      <c r="B91" s="1">
        <v>84</v>
      </c>
      <c r="C91" s="186"/>
      <c r="D91" s="186"/>
      <c r="E91" s="78"/>
    </row>
    <row r="92" spans="1:5">
      <c r="A92" s="91" t="s">
        <v>106</v>
      </c>
      <c r="B92" s="1">
        <v>85</v>
      </c>
      <c r="C92" s="186"/>
      <c r="D92" s="186"/>
      <c r="E92" s="78"/>
    </row>
    <row r="93" spans="1:5">
      <c r="A93" s="91" t="s">
        <v>107</v>
      </c>
      <c r="B93" s="1">
        <v>86</v>
      </c>
      <c r="C93" s="186">
        <v>1721763614</v>
      </c>
      <c r="D93" s="186">
        <v>2044535181</v>
      </c>
      <c r="E93" s="78"/>
    </row>
    <row r="94" spans="1:5">
      <c r="A94" s="91" t="s">
        <v>108</v>
      </c>
      <c r="B94" s="1">
        <v>87</v>
      </c>
      <c r="C94" s="186"/>
      <c r="D94" s="186"/>
      <c r="E94" s="78"/>
    </row>
    <row r="95" spans="1:5">
      <c r="A95" s="91" t="s">
        <v>109</v>
      </c>
      <c r="B95" s="1">
        <v>88</v>
      </c>
      <c r="C95" s="186"/>
      <c r="D95" s="186"/>
      <c r="E95" s="78"/>
    </row>
    <row r="96" spans="1:5">
      <c r="A96" s="91" t="s">
        <v>110</v>
      </c>
      <c r="B96" s="1">
        <v>89</v>
      </c>
      <c r="C96" s="186"/>
      <c r="D96" s="186"/>
      <c r="E96" s="78"/>
    </row>
    <row r="97" spans="1:5">
      <c r="A97" s="91" t="s">
        <v>111</v>
      </c>
      <c r="B97" s="1">
        <v>90</v>
      </c>
      <c r="C97" s="186"/>
      <c r="D97" s="186"/>
      <c r="E97" s="78"/>
    </row>
    <row r="98" spans="1:5">
      <c r="A98" s="91" t="s">
        <v>112</v>
      </c>
      <c r="B98" s="1">
        <v>91</v>
      </c>
      <c r="C98" s="186">
        <v>1585824</v>
      </c>
      <c r="D98" s="186">
        <v>2360890</v>
      </c>
      <c r="E98" s="78"/>
    </row>
    <row r="99" spans="1:5">
      <c r="A99" s="91" t="s">
        <v>113</v>
      </c>
      <c r="B99" s="1">
        <v>92</v>
      </c>
      <c r="C99" s="186">
        <v>16081788</v>
      </c>
      <c r="D99" s="186">
        <v>16114874</v>
      </c>
      <c r="E99" s="78"/>
    </row>
    <row r="100" spans="1:5">
      <c r="A100" s="80" t="s">
        <v>280</v>
      </c>
      <c r="B100" s="1">
        <v>93</v>
      </c>
      <c r="C100" s="185">
        <f>SUM(C101:C112)</f>
        <v>369130888</v>
      </c>
      <c r="D100" s="185">
        <f>D101+D102+D103+D104+D105+D106+D107+D108+D109+D110+D111+D112</f>
        <v>296128151</v>
      </c>
      <c r="E100" s="78"/>
    </row>
    <row r="101" spans="1:5">
      <c r="A101" s="91" t="s">
        <v>105</v>
      </c>
      <c r="B101" s="1">
        <v>94</v>
      </c>
      <c r="C101" s="186">
        <v>377577</v>
      </c>
      <c r="D101" s="186">
        <v>96698</v>
      </c>
      <c r="E101" s="78"/>
    </row>
    <row r="102" spans="1:5">
      <c r="A102" s="91" t="s">
        <v>106</v>
      </c>
      <c r="B102" s="1">
        <v>95</v>
      </c>
      <c r="C102" s="186"/>
      <c r="D102" s="186"/>
      <c r="E102" s="78"/>
    </row>
    <row r="103" spans="1:5">
      <c r="A103" s="91" t="s">
        <v>107</v>
      </c>
      <c r="B103" s="1">
        <v>96</v>
      </c>
      <c r="C103" s="186">
        <v>184701848</v>
      </c>
      <c r="D103" s="186">
        <v>49499619</v>
      </c>
      <c r="E103" s="78"/>
    </row>
    <row r="104" spans="1:5">
      <c r="A104" s="91" t="s">
        <v>108</v>
      </c>
      <c r="B104" s="1">
        <v>97</v>
      </c>
      <c r="C104" s="186">
        <v>30708993</v>
      </c>
      <c r="D104" s="186">
        <v>76896055</v>
      </c>
      <c r="E104" s="78"/>
    </row>
    <row r="105" spans="1:5">
      <c r="A105" s="91" t="s">
        <v>109</v>
      </c>
      <c r="B105" s="1">
        <v>98</v>
      </c>
      <c r="C105" s="186">
        <v>121224757</v>
      </c>
      <c r="D105" s="186">
        <v>91989745</v>
      </c>
      <c r="E105" s="78"/>
    </row>
    <row r="106" spans="1:5">
      <c r="A106" s="91" t="s">
        <v>110</v>
      </c>
      <c r="B106" s="1">
        <v>99</v>
      </c>
      <c r="C106" s="186"/>
      <c r="D106" s="186"/>
      <c r="E106" s="78"/>
    </row>
    <row r="107" spans="1:5">
      <c r="A107" s="91" t="s">
        <v>111</v>
      </c>
      <c r="B107" s="1">
        <v>100</v>
      </c>
      <c r="C107" s="186"/>
      <c r="D107" s="186"/>
      <c r="E107" s="78"/>
    </row>
    <row r="108" spans="1:5">
      <c r="A108" s="91" t="s">
        <v>114</v>
      </c>
      <c r="B108" s="1">
        <v>101</v>
      </c>
      <c r="C108" s="186">
        <v>20606875</v>
      </c>
      <c r="D108" s="186">
        <v>36949339</v>
      </c>
      <c r="E108" s="78"/>
    </row>
    <row r="109" spans="1:5">
      <c r="A109" s="91" t="s">
        <v>115</v>
      </c>
      <c r="B109" s="1">
        <v>102</v>
      </c>
      <c r="C109" s="186">
        <v>10270639</v>
      </c>
      <c r="D109" s="186">
        <v>37455031</v>
      </c>
      <c r="E109" s="78"/>
    </row>
    <row r="110" spans="1:5">
      <c r="A110" s="91" t="s">
        <v>116</v>
      </c>
      <c r="B110" s="1">
        <v>103</v>
      </c>
      <c r="C110" s="186">
        <v>72403</v>
      </c>
      <c r="D110" s="186">
        <v>72403</v>
      </c>
      <c r="E110" s="78"/>
    </row>
    <row r="111" spans="1:5">
      <c r="A111" s="91" t="s">
        <v>117</v>
      </c>
      <c r="B111" s="1">
        <v>104</v>
      </c>
      <c r="C111" s="186"/>
      <c r="D111" s="186"/>
      <c r="E111" s="78"/>
    </row>
    <row r="112" spans="1:5">
      <c r="A112" s="91" t="s">
        <v>118</v>
      </c>
      <c r="B112" s="1">
        <v>105</v>
      </c>
      <c r="C112" s="186">
        <v>1167796</v>
      </c>
      <c r="D112" s="186">
        <v>3169261</v>
      </c>
      <c r="E112" s="78"/>
    </row>
    <row r="113" spans="1:5">
      <c r="A113" s="80" t="s">
        <v>119</v>
      </c>
      <c r="B113" s="1">
        <v>106</v>
      </c>
      <c r="C113" s="186">
        <v>96409341</v>
      </c>
      <c r="D113" s="186">
        <v>110553817</v>
      </c>
      <c r="E113" s="78"/>
    </row>
    <row r="114" spans="1:5">
      <c r="A114" s="80" t="s">
        <v>120</v>
      </c>
      <c r="B114" s="1">
        <v>107</v>
      </c>
      <c r="C114" s="185">
        <f>C69+C86+C90+C100+C113</f>
        <v>4632037243</v>
      </c>
      <c r="D114" s="185">
        <f>D69+D86+D90+D100+D113</f>
        <v>5275195585</v>
      </c>
      <c r="E114" s="78"/>
    </row>
    <row r="115" spans="1:5">
      <c r="A115" s="86" t="s">
        <v>121</v>
      </c>
      <c r="B115" s="2">
        <v>108</v>
      </c>
      <c r="C115" s="7">
        <v>54545066</v>
      </c>
      <c r="D115" s="7">
        <v>54479411</v>
      </c>
      <c r="E115" s="78"/>
    </row>
    <row r="116" spans="1:5">
      <c r="A116" s="87" t="s">
        <v>123</v>
      </c>
      <c r="B116" s="89"/>
      <c r="C116" s="117"/>
      <c r="D116" s="117"/>
      <c r="E116" s="78"/>
    </row>
    <row r="117" spans="1:5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/>
      <c r="D121" s="119"/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6" type="noConversion"/>
  <dataValidations count="3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46:C48 C88 C57 C7:D7 C15 C10 C33:C34 C36:C37 C81 C84 C91:C92 D70">
      <formula1>0</formula1>
    </dataValidation>
    <dataValidation allowBlank="1" sqref="C8:C9 C16 C90 C26 C35 D71:D115 C40:C41 C49 C56 C100 C66 C85:C86 C79 C82 C114 C72 C69:D69 D8:D67"/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75"/>
  <sheetViews>
    <sheetView view="pageBreakPreview" topLeftCell="A7" zoomScaleNormal="100" zoomScaleSheetLayoutView="100" workbookViewId="0">
      <selection activeCell="E44" sqref="E44"/>
    </sheetView>
  </sheetViews>
  <sheetFormatPr defaultColWidth="9.140625" defaultRowHeight="12.75"/>
  <cols>
    <col min="1" max="1" width="77.28515625" style="113" bestFit="1" customWidth="1"/>
    <col min="2" max="2" width="7.85546875" style="35" customWidth="1"/>
    <col min="3" max="3" width="10.85546875" style="35" customWidth="1"/>
    <col min="4" max="5" width="11" style="35" customWidth="1"/>
    <col min="6" max="6" width="11.140625" style="35" bestFit="1" customWidth="1"/>
    <col min="7" max="7" width="10.28515625" style="35" bestFit="1" customWidth="1"/>
    <col min="8" max="16384" width="9.140625" style="35"/>
  </cols>
  <sheetData>
    <row r="1" spans="1:7" ht="15.75">
      <c r="A1" s="273" t="s">
        <v>175</v>
      </c>
      <c r="B1" s="274"/>
      <c r="C1" s="274"/>
      <c r="D1" s="274"/>
      <c r="E1" s="274"/>
      <c r="F1" s="275"/>
    </row>
    <row r="2" spans="1:7">
      <c r="A2" s="276" t="s">
        <v>295</v>
      </c>
      <c r="B2" s="277"/>
      <c r="C2" s="277"/>
      <c r="D2" s="277"/>
      <c r="E2" s="277"/>
      <c r="F2" s="278"/>
    </row>
    <row r="3" spans="1:7">
      <c r="A3" s="139" t="s">
        <v>264</v>
      </c>
      <c r="B3" s="105"/>
      <c r="C3" s="105"/>
      <c r="D3" s="105"/>
      <c r="E3" s="105"/>
      <c r="F3" s="140"/>
    </row>
    <row r="4" spans="1:7" ht="22.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7" ht="22.5">
      <c r="A5" s="40"/>
      <c r="B5" s="40"/>
      <c r="C5" s="41" t="s">
        <v>174</v>
      </c>
      <c r="D5" s="41" t="s">
        <v>173</v>
      </c>
      <c r="E5" s="41" t="s">
        <v>174</v>
      </c>
      <c r="F5" s="41" t="s">
        <v>173</v>
      </c>
    </row>
    <row r="6" spans="1:7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7">
      <c r="A7" s="90" t="s">
        <v>281</v>
      </c>
      <c r="B7" s="3">
        <v>111</v>
      </c>
      <c r="C7" s="120">
        <f t="shared" ref="C7:D7" si="0">SUM(C8:C9)</f>
        <v>1542299506</v>
      </c>
      <c r="D7" s="120">
        <f t="shared" si="0"/>
        <v>1051068002</v>
      </c>
      <c r="E7" s="120">
        <f>SUM(E8:E9)</f>
        <v>1675835757</v>
      </c>
      <c r="F7" s="120">
        <f>SUM(F8:F9)</f>
        <v>1154075834</v>
      </c>
      <c r="G7" s="78"/>
    </row>
    <row r="8" spans="1:7">
      <c r="A8" s="80" t="s">
        <v>248</v>
      </c>
      <c r="B8" s="1">
        <v>112</v>
      </c>
      <c r="C8" s="186">
        <v>1529618051</v>
      </c>
      <c r="D8" s="186">
        <f>+C8-482380408</f>
        <v>1047237643</v>
      </c>
      <c r="E8" s="186">
        <v>1664028928</v>
      </c>
      <c r="F8" s="186">
        <f>+E8-515415213</f>
        <v>1148613715</v>
      </c>
      <c r="G8" s="78"/>
    </row>
    <row r="9" spans="1:7">
      <c r="A9" s="80" t="s">
        <v>249</v>
      </c>
      <c r="B9" s="1">
        <v>113</v>
      </c>
      <c r="C9" s="186">
        <v>12681455</v>
      </c>
      <c r="D9" s="186">
        <f>+C9-8851096</f>
        <v>3830359</v>
      </c>
      <c r="E9" s="186">
        <f>272892+11533937</f>
        <v>11806829</v>
      </c>
      <c r="F9" s="186">
        <f>+E9-6344710</f>
        <v>5462119</v>
      </c>
      <c r="G9" s="78"/>
    </row>
    <row r="10" spans="1:7">
      <c r="A10" s="80" t="s">
        <v>127</v>
      </c>
      <c r="B10" s="1">
        <v>114</v>
      </c>
      <c r="C10" s="185">
        <f t="shared" ref="C10:E10" si="1">C11+C12+C16+C20+C21+C22+C25+C26</f>
        <v>1080372852</v>
      </c>
      <c r="D10" s="185">
        <f t="shared" si="1"/>
        <v>527164276</v>
      </c>
      <c r="E10" s="185">
        <f t="shared" si="1"/>
        <v>1172263012</v>
      </c>
      <c r="F10" s="185">
        <f>F11+F12+F16+F20+F21+F22+F25+F26</f>
        <v>750432686</v>
      </c>
      <c r="G10" s="78"/>
    </row>
    <row r="11" spans="1:7">
      <c r="A11" s="80" t="s">
        <v>128</v>
      </c>
      <c r="B11" s="1">
        <v>115</v>
      </c>
      <c r="C11" s="186"/>
      <c r="D11" s="186"/>
      <c r="E11" s="186"/>
      <c r="F11" s="186"/>
      <c r="G11" s="78"/>
    </row>
    <row r="12" spans="1:7">
      <c r="A12" s="80" t="s">
        <v>282</v>
      </c>
      <c r="B12" s="1">
        <v>116</v>
      </c>
      <c r="C12" s="185">
        <f t="shared" ref="C12:F12" si="2">SUM(C13:C15)</f>
        <v>418643424</v>
      </c>
      <c r="D12" s="185">
        <f t="shared" si="2"/>
        <v>238841233</v>
      </c>
      <c r="E12" s="185">
        <f t="shared" si="2"/>
        <v>422748565</v>
      </c>
      <c r="F12" s="185">
        <f t="shared" si="2"/>
        <v>270462767</v>
      </c>
      <c r="G12" s="78"/>
    </row>
    <row r="13" spans="1:7">
      <c r="A13" s="138" t="s">
        <v>129</v>
      </c>
      <c r="B13" s="1">
        <v>117</v>
      </c>
      <c r="C13" s="186">
        <v>241602189</v>
      </c>
      <c r="D13" s="186">
        <f>+C13-108541882</f>
        <v>133060307</v>
      </c>
      <c r="E13" s="186">
        <v>262912387</v>
      </c>
      <c r="F13" s="186">
        <f>+E13-105040246</f>
        <v>157872141</v>
      </c>
      <c r="G13" s="78"/>
    </row>
    <row r="14" spans="1:7">
      <c r="A14" s="138" t="s">
        <v>130</v>
      </c>
      <c r="B14" s="1">
        <v>118</v>
      </c>
      <c r="C14" s="186">
        <v>2749445</v>
      </c>
      <c r="D14" s="186">
        <f>+C14-1255465</f>
        <v>1493980</v>
      </c>
      <c r="E14" s="186">
        <v>3062034</v>
      </c>
      <c r="F14" s="186">
        <f>+E14-972745</f>
        <v>2089289</v>
      </c>
      <c r="G14" s="78"/>
    </row>
    <row r="15" spans="1:7">
      <c r="A15" s="138" t="s">
        <v>131</v>
      </c>
      <c r="B15" s="1">
        <v>119</v>
      </c>
      <c r="C15" s="186">
        <v>174291790</v>
      </c>
      <c r="D15" s="186">
        <f>+C15-70004844</f>
        <v>104286946</v>
      </c>
      <c r="E15" s="186">
        <v>156774144</v>
      </c>
      <c r="F15" s="186">
        <f>+E15-46272807</f>
        <v>110501337</v>
      </c>
      <c r="G15" s="78"/>
    </row>
    <row r="16" spans="1:7">
      <c r="A16" s="80" t="s">
        <v>283</v>
      </c>
      <c r="B16" s="1">
        <v>120</v>
      </c>
      <c r="C16" s="185">
        <f>SUM(C17:C19)</f>
        <v>344484076</v>
      </c>
      <c r="D16" s="185">
        <f>SUM(D17:D19)</f>
        <v>158723160</v>
      </c>
      <c r="E16" s="185">
        <f>E17+E18+E19</f>
        <v>377887112</v>
      </c>
      <c r="F16" s="185">
        <f>SUM(F17:F19)</f>
        <v>228843854</v>
      </c>
      <c r="G16" s="78"/>
    </row>
    <row r="17" spans="1:7">
      <c r="A17" s="138" t="s">
        <v>132</v>
      </c>
      <c r="B17" s="1">
        <v>121</v>
      </c>
      <c r="C17" s="186">
        <v>207014411</v>
      </c>
      <c r="D17" s="186">
        <f>+C17-111763065</f>
        <v>95251346</v>
      </c>
      <c r="E17" s="186">
        <v>228371007</v>
      </c>
      <c r="F17" s="186">
        <f>+E17-89884037</f>
        <v>138486970</v>
      </c>
      <c r="G17" s="78"/>
    </row>
    <row r="18" spans="1:7">
      <c r="A18" s="138" t="s">
        <v>133</v>
      </c>
      <c r="B18" s="1">
        <v>122</v>
      </c>
      <c r="C18" s="186">
        <v>89158734</v>
      </c>
      <c r="D18" s="186">
        <f>+C18-47832412</f>
        <v>41326322</v>
      </c>
      <c r="E18" s="186">
        <v>97286057</v>
      </c>
      <c r="F18" s="186">
        <f>+E18-38324228</f>
        <v>58961829</v>
      </c>
      <c r="G18" s="78"/>
    </row>
    <row r="19" spans="1:7">
      <c r="A19" s="138" t="s">
        <v>134</v>
      </c>
      <c r="B19" s="1">
        <v>123</v>
      </c>
      <c r="C19" s="186">
        <v>48310931</v>
      </c>
      <c r="D19" s="186">
        <f>+C19-26165439</f>
        <v>22145492</v>
      </c>
      <c r="E19" s="186">
        <v>52230048</v>
      </c>
      <c r="F19" s="186">
        <f>+E19-20834993</f>
        <v>31395055</v>
      </c>
      <c r="G19" s="78"/>
    </row>
    <row r="20" spans="1:7">
      <c r="A20" s="80" t="s">
        <v>135</v>
      </c>
      <c r="B20" s="1">
        <v>124</v>
      </c>
      <c r="C20" s="186">
        <v>215613149</v>
      </c>
      <c r="D20" s="186">
        <f>+C20-133874756</f>
        <v>81738393</v>
      </c>
      <c r="E20" s="186">
        <v>253711399</v>
      </c>
      <c r="F20" s="186">
        <f>+E20-84603406</f>
        <v>169107993</v>
      </c>
      <c r="G20" s="78"/>
    </row>
    <row r="21" spans="1:7">
      <c r="A21" s="80" t="s">
        <v>136</v>
      </c>
      <c r="B21" s="1">
        <v>125</v>
      </c>
      <c r="C21" s="186">
        <v>95540566</v>
      </c>
      <c r="D21" s="186">
        <f>+C21-50563921</f>
        <v>44976645</v>
      </c>
      <c r="E21" s="186">
        <v>113607521</v>
      </c>
      <c r="F21" s="186">
        <f>+E21-34685592</f>
        <v>78921929</v>
      </c>
      <c r="G21" s="78"/>
    </row>
    <row r="22" spans="1:7">
      <c r="A22" s="80" t="s">
        <v>137</v>
      </c>
      <c r="B22" s="1">
        <v>126</v>
      </c>
      <c r="C22" s="185">
        <f t="shared" ref="C22:D22" si="3">SUM(C23:C24)</f>
        <v>69637</v>
      </c>
      <c r="D22" s="185">
        <f t="shared" si="3"/>
        <v>0</v>
      </c>
      <c r="E22" s="185">
        <f>SUM(E23:E24)</f>
        <v>83578</v>
      </c>
      <c r="F22" s="185">
        <f>SUM(F23:F24)</f>
        <v>72193</v>
      </c>
      <c r="G22" s="78"/>
    </row>
    <row r="23" spans="1:7">
      <c r="A23" s="138" t="s">
        <v>138</v>
      </c>
      <c r="B23" s="1">
        <v>127</v>
      </c>
      <c r="C23" s="186"/>
      <c r="D23" s="186"/>
      <c r="E23" s="186"/>
      <c r="F23" s="186"/>
      <c r="G23" s="78"/>
    </row>
    <row r="24" spans="1:7">
      <c r="A24" s="138" t="s">
        <v>139</v>
      </c>
      <c r="B24" s="1">
        <v>128</v>
      </c>
      <c r="C24" s="186">
        <v>69637</v>
      </c>
      <c r="D24" s="186">
        <f>+C24-69637</f>
        <v>0</v>
      </c>
      <c r="E24" s="186">
        <v>83578</v>
      </c>
      <c r="F24" s="186">
        <f>+E24-11385</f>
        <v>72193</v>
      </c>
      <c r="G24" s="78"/>
    </row>
    <row r="25" spans="1:7">
      <c r="A25" s="80" t="s">
        <v>140</v>
      </c>
      <c r="B25" s="1">
        <v>129</v>
      </c>
      <c r="C25" s="186"/>
      <c r="D25" s="186"/>
      <c r="E25" s="186"/>
      <c r="F25" s="186"/>
      <c r="G25" s="78"/>
    </row>
    <row r="26" spans="1:7">
      <c r="A26" s="80" t="s">
        <v>141</v>
      </c>
      <c r="B26" s="1">
        <v>130</v>
      </c>
      <c r="C26" s="186">
        <v>6022000</v>
      </c>
      <c r="D26" s="186">
        <f>+C26-3137155</f>
        <v>2884845</v>
      </c>
      <c r="E26" s="186">
        <v>4224837</v>
      </c>
      <c r="F26" s="186">
        <f>+E26-1200887</f>
        <v>3023950</v>
      </c>
      <c r="G26" s="78"/>
    </row>
    <row r="27" spans="1:7">
      <c r="A27" s="80" t="s">
        <v>284</v>
      </c>
      <c r="B27" s="1">
        <v>131</v>
      </c>
      <c r="C27" s="185">
        <f t="shared" ref="C27:D27" si="4">SUM(C28:C32)</f>
        <v>55622830</v>
      </c>
      <c r="D27" s="185">
        <f t="shared" si="4"/>
        <v>10438960</v>
      </c>
      <c r="E27" s="185">
        <f>SUM(E28:E32)</f>
        <v>55415364</v>
      </c>
      <c r="F27" s="185">
        <f>SUM(F28:F32)</f>
        <v>34979054</v>
      </c>
      <c r="G27" s="78"/>
    </row>
    <row r="28" spans="1:7" ht="24">
      <c r="A28" s="80" t="s">
        <v>297</v>
      </c>
      <c r="B28" s="1">
        <v>132</v>
      </c>
      <c r="C28" s="186"/>
      <c r="D28" s="186"/>
      <c r="E28" s="186">
        <v>6050776</v>
      </c>
      <c r="F28" s="186">
        <f>+E28</f>
        <v>6050776</v>
      </c>
      <c r="G28" s="187"/>
    </row>
    <row r="29" spans="1:7">
      <c r="A29" s="80" t="s">
        <v>289</v>
      </c>
      <c r="B29" s="1">
        <v>133</v>
      </c>
      <c r="C29" s="186">
        <v>45878327</v>
      </c>
      <c r="D29" s="186">
        <f>+C29-36303532</f>
        <v>9574795</v>
      </c>
      <c r="E29" s="186">
        <v>42400966</v>
      </c>
      <c r="F29" s="186">
        <f>+E29-17329259</f>
        <v>25071707</v>
      </c>
      <c r="G29" s="78"/>
    </row>
    <row r="30" spans="1:7">
      <c r="A30" s="80" t="s">
        <v>142</v>
      </c>
      <c r="B30" s="1">
        <v>134</v>
      </c>
      <c r="C30" s="186"/>
      <c r="D30" s="186"/>
      <c r="E30" s="186"/>
      <c r="F30" s="186"/>
      <c r="G30" s="78"/>
    </row>
    <row r="31" spans="1:7">
      <c r="A31" s="80" t="s">
        <v>143</v>
      </c>
      <c r="B31" s="1">
        <v>135</v>
      </c>
      <c r="C31" s="186">
        <v>7098051</v>
      </c>
      <c r="D31" s="186">
        <f>+C31-7098051</f>
        <v>0</v>
      </c>
      <c r="E31" s="186">
        <v>4696029</v>
      </c>
      <c r="F31" s="186">
        <f>+E31-1971070</f>
        <v>2724959</v>
      </c>
      <c r="G31" s="78"/>
    </row>
    <row r="32" spans="1:7">
      <c r="A32" s="80" t="s">
        <v>144</v>
      </c>
      <c r="B32" s="1">
        <v>136</v>
      </c>
      <c r="C32" s="186">
        <v>2646452</v>
      </c>
      <c r="D32" s="186">
        <f>+C32-1782287</f>
        <v>864165</v>
      </c>
      <c r="E32" s="186">
        <v>2267593</v>
      </c>
      <c r="F32" s="186">
        <f>+E32-1135981</f>
        <v>1131612</v>
      </c>
      <c r="G32" s="78"/>
    </row>
    <row r="33" spans="1:7">
      <c r="A33" s="80" t="s">
        <v>285</v>
      </c>
      <c r="B33" s="1">
        <v>137</v>
      </c>
      <c r="C33" s="185">
        <f>SUM(C34:C37)</f>
        <v>67399830</v>
      </c>
      <c r="D33" s="185">
        <f>SUM(D34:D37)</f>
        <v>43867493</v>
      </c>
      <c r="E33" s="185">
        <f>SUM(E34:E37)</f>
        <v>55465551</v>
      </c>
      <c r="F33" s="185">
        <f>SUM(F34:F37)</f>
        <v>40620220</v>
      </c>
      <c r="G33" s="78"/>
    </row>
    <row r="34" spans="1:7" ht="24">
      <c r="A34" s="80" t="s">
        <v>290</v>
      </c>
      <c r="B34" s="1">
        <v>138</v>
      </c>
      <c r="C34" s="186"/>
      <c r="D34" s="186"/>
      <c r="E34" s="186"/>
      <c r="F34" s="186"/>
      <c r="G34" s="187"/>
    </row>
    <row r="35" spans="1:7">
      <c r="A35" s="80" t="s">
        <v>291</v>
      </c>
      <c r="B35" s="1">
        <v>139</v>
      </c>
      <c r="C35" s="186">
        <v>55051192</v>
      </c>
      <c r="D35" s="186">
        <f>+C35-21319575</f>
        <v>33731617</v>
      </c>
      <c r="E35" s="186">
        <v>49526997</v>
      </c>
      <c r="F35" s="186">
        <f>+E35-12307020</f>
        <v>37219977</v>
      </c>
      <c r="G35" s="78"/>
    </row>
    <row r="36" spans="1:7">
      <c r="A36" s="80" t="s">
        <v>145</v>
      </c>
      <c r="B36" s="1">
        <v>140</v>
      </c>
      <c r="C36" s="186">
        <v>5990954</v>
      </c>
      <c r="D36" s="186">
        <f>+C36-1605295</f>
        <v>4385659</v>
      </c>
      <c r="E36" s="186">
        <v>5086445</v>
      </c>
      <c r="F36" s="186">
        <f>+E36-2146623</f>
        <v>2939822</v>
      </c>
      <c r="G36" s="78"/>
    </row>
    <row r="37" spans="1:7">
      <c r="A37" s="80" t="s">
        <v>146</v>
      </c>
      <c r="B37" s="1">
        <v>141</v>
      </c>
      <c r="C37" s="186">
        <v>6357684</v>
      </c>
      <c r="D37" s="186">
        <f>+C37-607467</f>
        <v>5750217</v>
      </c>
      <c r="E37" s="186">
        <v>852109</v>
      </c>
      <c r="F37" s="186">
        <f>+E37-391688</f>
        <v>460421</v>
      </c>
      <c r="G37" s="78"/>
    </row>
    <row r="38" spans="1:7">
      <c r="A38" s="80" t="s">
        <v>147</v>
      </c>
      <c r="B38" s="1">
        <v>142</v>
      </c>
      <c r="C38" s="186"/>
      <c r="D38" s="186"/>
      <c r="E38" s="186"/>
      <c r="F38" s="186"/>
      <c r="G38" s="78"/>
    </row>
    <row r="39" spans="1:7">
      <c r="A39" s="80" t="s">
        <v>148</v>
      </c>
      <c r="B39" s="1">
        <v>143</v>
      </c>
      <c r="C39" s="186"/>
      <c r="D39" s="186"/>
      <c r="E39" s="186"/>
      <c r="F39" s="186"/>
      <c r="G39" s="78"/>
    </row>
    <row r="40" spans="1:7">
      <c r="A40" s="80" t="s">
        <v>149</v>
      </c>
      <c r="B40" s="1">
        <v>144</v>
      </c>
      <c r="C40" s="186"/>
      <c r="D40" s="186"/>
      <c r="E40" s="186"/>
      <c r="F40" s="186"/>
      <c r="G40" s="78"/>
    </row>
    <row r="41" spans="1:7">
      <c r="A41" s="80" t="s">
        <v>150</v>
      </c>
      <c r="B41" s="1">
        <v>145</v>
      </c>
      <c r="C41" s="186"/>
      <c r="D41" s="186"/>
      <c r="E41" s="186"/>
      <c r="F41" s="186"/>
      <c r="G41" s="78"/>
    </row>
    <row r="42" spans="1:7">
      <c r="A42" s="80" t="s">
        <v>286</v>
      </c>
      <c r="B42" s="1">
        <v>146</v>
      </c>
      <c r="C42" s="185">
        <f>C7+C27+C38+C40</f>
        <v>1597922336</v>
      </c>
      <c r="D42" s="185">
        <f>D7+D27+D38+D40</f>
        <v>1061506962</v>
      </c>
      <c r="E42" s="185">
        <f>E7+E27+E38+E40</f>
        <v>1731251121</v>
      </c>
      <c r="F42" s="185">
        <f>F7+F27+F38+F40</f>
        <v>1189054888</v>
      </c>
      <c r="G42" s="78"/>
    </row>
    <row r="43" spans="1:7">
      <c r="A43" s="80" t="s">
        <v>151</v>
      </c>
      <c r="B43" s="1">
        <v>147</v>
      </c>
      <c r="C43" s="185">
        <f t="shared" ref="C43:D43" si="5">C10+C33+C39+C41</f>
        <v>1147772682</v>
      </c>
      <c r="D43" s="185">
        <f t="shared" si="5"/>
        <v>571031769</v>
      </c>
      <c r="E43" s="185">
        <f>E10+E33+E39+E41</f>
        <v>1227728563</v>
      </c>
      <c r="F43" s="185">
        <f>F10+F33+F39+F41</f>
        <v>791052906</v>
      </c>
      <c r="G43" s="78"/>
    </row>
    <row r="44" spans="1:7">
      <c r="A44" s="80" t="s">
        <v>152</v>
      </c>
      <c r="B44" s="1">
        <v>148</v>
      </c>
      <c r="C44" s="185">
        <f t="shared" ref="C44:D44" si="6">C42-C43</f>
        <v>450149654</v>
      </c>
      <c r="D44" s="185">
        <f t="shared" si="6"/>
        <v>490475193</v>
      </c>
      <c r="E44" s="185">
        <f>E42-E43</f>
        <v>503522558</v>
      </c>
      <c r="F44" s="185">
        <f>F42-F43</f>
        <v>398001982</v>
      </c>
      <c r="G44" s="78"/>
    </row>
    <row r="45" spans="1:7">
      <c r="A45" s="138" t="s">
        <v>153</v>
      </c>
      <c r="B45" s="1">
        <v>149</v>
      </c>
      <c r="C45" s="185">
        <f t="shared" ref="C45:D45" si="7">IF(C42&gt;C43,C42-C43,0)</f>
        <v>450149654</v>
      </c>
      <c r="D45" s="185">
        <f t="shared" si="7"/>
        <v>490475193</v>
      </c>
      <c r="E45" s="185">
        <f>IF(E42&gt;E43,E42-E43,0)</f>
        <v>503522558</v>
      </c>
      <c r="F45" s="185">
        <f>IF(F42&gt;F43,F42-F43,0)</f>
        <v>398001982</v>
      </c>
      <c r="G45" s="78"/>
    </row>
    <row r="46" spans="1:7">
      <c r="A46" s="138" t="s">
        <v>154</v>
      </c>
      <c r="B46" s="1">
        <v>150</v>
      </c>
      <c r="C46" s="185">
        <f t="shared" ref="C46:D46" si="8">IF(C43&gt;C42,C43-C42,0)</f>
        <v>0</v>
      </c>
      <c r="D46" s="185">
        <f t="shared" si="8"/>
        <v>0</v>
      </c>
      <c r="E46" s="185">
        <f>IF(E43&gt;E42,E43-E42,0)</f>
        <v>0</v>
      </c>
      <c r="F46" s="185">
        <f>IF(F43&gt;F42,F43-F42,0)</f>
        <v>0</v>
      </c>
      <c r="G46" s="78"/>
    </row>
    <row r="47" spans="1:7">
      <c r="A47" s="80" t="s">
        <v>155</v>
      </c>
      <c r="B47" s="1">
        <v>151</v>
      </c>
      <c r="C47" s="186"/>
      <c r="D47" s="186"/>
      <c r="E47" s="186"/>
      <c r="F47" s="186"/>
      <c r="G47" s="78"/>
    </row>
    <row r="48" spans="1:7">
      <c r="A48" s="80" t="s">
        <v>292</v>
      </c>
      <c r="B48" s="1">
        <v>152</v>
      </c>
      <c r="C48" s="185">
        <f t="shared" ref="C48" si="9">C44-C47</f>
        <v>450149654</v>
      </c>
      <c r="D48" s="185">
        <f>D44-D47</f>
        <v>490475193</v>
      </c>
      <c r="E48" s="185">
        <f>E44-E47</f>
        <v>503522558</v>
      </c>
      <c r="F48" s="185">
        <f>F44-F47</f>
        <v>398001982</v>
      </c>
      <c r="G48" s="78"/>
    </row>
    <row r="49" spans="1:7">
      <c r="A49" s="138" t="s">
        <v>156</v>
      </c>
      <c r="B49" s="1">
        <v>153</v>
      </c>
      <c r="C49" s="185">
        <f t="shared" ref="C49:D49" si="10">IF(C48&gt;0,C48,0)</f>
        <v>450149654</v>
      </c>
      <c r="D49" s="185">
        <f t="shared" si="10"/>
        <v>490475193</v>
      </c>
      <c r="E49" s="185">
        <f>IF(E48&gt;0,E48,0)</f>
        <v>503522558</v>
      </c>
      <c r="F49" s="185">
        <f>IF(F48&gt;0,F48,0)</f>
        <v>398001982</v>
      </c>
      <c r="G49" s="78"/>
    </row>
    <row r="50" spans="1:7">
      <c r="A50" s="114" t="s">
        <v>157</v>
      </c>
      <c r="B50" s="2">
        <v>154</v>
      </c>
      <c r="C50" s="42">
        <f t="shared" ref="C50:D50" si="11">IF(C48&lt;0,-C48,0)</f>
        <v>0</v>
      </c>
      <c r="D50" s="42">
        <f t="shared" si="11"/>
        <v>0</v>
      </c>
      <c r="E50" s="42">
        <f>IF(E48&lt;0,-E48,0)</f>
        <v>0</v>
      </c>
      <c r="F50" s="42">
        <f>IF(F48&lt;0,-F48,0)</f>
        <v>0</v>
      </c>
      <c r="G50" s="78"/>
    </row>
    <row r="51" spans="1:7">
      <c r="A51" s="87" t="s">
        <v>299</v>
      </c>
      <c r="B51" s="88"/>
      <c r="C51" s="122"/>
      <c r="D51" s="141"/>
      <c r="E51" s="122"/>
      <c r="F51" s="141"/>
      <c r="G51" s="78"/>
    </row>
    <row r="52" spans="1:7">
      <c r="A52" s="90" t="s">
        <v>158</v>
      </c>
      <c r="B52" s="37"/>
      <c r="C52" s="37"/>
      <c r="D52" s="142"/>
      <c r="E52" s="37"/>
      <c r="F52" s="142"/>
      <c r="G52" s="78"/>
    </row>
    <row r="53" spans="1:7">
      <c r="A53" s="80" t="s">
        <v>159</v>
      </c>
      <c r="B53" s="1">
        <v>155</v>
      </c>
      <c r="C53" s="186">
        <f>+C48</f>
        <v>450149654</v>
      </c>
      <c r="D53" s="186">
        <f>+D48</f>
        <v>490475193</v>
      </c>
      <c r="E53" s="6">
        <f>+E48</f>
        <v>503522558</v>
      </c>
      <c r="F53" s="6">
        <f>+F48</f>
        <v>398001982</v>
      </c>
      <c r="G53" s="78"/>
    </row>
    <row r="54" spans="1:7">
      <c r="A54" s="80" t="s">
        <v>160</v>
      </c>
      <c r="B54" s="1">
        <v>156</v>
      </c>
      <c r="C54" s="7"/>
      <c r="D54" s="7"/>
      <c r="E54" s="7"/>
      <c r="F54" s="7"/>
      <c r="G54" s="78"/>
    </row>
    <row r="55" spans="1:7">
      <c r="A55" s="87" t="s">
        <v>161</v>
      </c>
      <c r="B55" s="88"/>
      <c r="C55" s="88"/>
      <c r="D55" s="141"/>
      <c r="E55" s="88"/>
      <c r="F55" s="141"/>
      <c r="G55" s="78"/>
    </row>
    <row r="56" spans="1:7">
      <c r="A56" s="90" t="s">
        <v>162</v>
      </c>
      <c r="B56" s="8">
        <v>157</v>
      </c>
      <c r="C56" s="5">
        <f>C48</f>
        <v>450149654</v>
      </c>
      <c r="D56" s="5">
        <f>D48</f>
        <v>490475193</v>
      </c>
      <c r="E56" s="5">
        <f>E48</f>
        <v>503522558</v>
      </c>
      <c r="F56" s="5">
        <f>F48</f>
        <v>398001982</v>
      </c>
      <c r="G56" s="78"/>
    </row>
    <row r="57" spans="1:7">
      <c r="A57" s="80" t="s">
        <v>287</v>
      </c>
      <c r="B57" s="1">
        <v>158</v>
      </c>
      <c r="C57" s="185">
        <f>SUM(C58:C64)</f>
        <v>27429</v>
      </c>
      <c r="D57" s="185">
        <f>SUM(D58:D64)</f>
        <v>12401</v>
      </c>
      <c r="E57" s="36">
        <f>SUM(E58:E64)</f>
        <v>165427.96</v>
      </c>
      <c r="F57" s="36">
        <f>SUM(F58:F64)</f>
        <v>165427.96</v>
      </c>
      <c r="G57" s="78"/>
    </row>
    <row r="58" spans="1:7">
      <c r="A58" s="80" t="s">
        <v>163</v>
      </c>
      <c r="B58" s="1">
        <v>159</v>
      </c>
      <c r="C58" s="186"/>
      <c r="D58" s="186"/>
      <c r="E58" s="6"/>
      <c r="F58" s="6"/>
      <c r="G58" s="78"/>
    </row>
    <row r="59" spans="1:7">
      <c r="A59" s="80" t="s">
        <v>164</v>
      </c>
      <c r="B59" s="1">
        <v>160</v>
      </c>
      <c r="C59" s="186"/>
      <c r="D59" s="186"/>
      <c r="E59" s="6"/>
      <c r="F59" s="6"/>
      <c r="G59" s="78"/>
    </row>
    <row r="60" spans="1:7">
      <c r="A60" s="80" t="s">
        <v>165</v>
      </c>
      <c r="B60" s="1">
        <v>161</v>
      </c>
      <c r="C60" s="186">
        <v>27429</v>
      </c>
      <c r="D60" s="186">
        <f>+C60-15028</f>
        <v>12401</v>
      </c>
      <c r="E60" s="186">
        <v>165427.96</v>
      </c>
      <c r="F60" s="6">
        <f>+E60</f>
        <v>165427.96</v>
      </c>
      <c r="G60" s="78"/>
    </row>
    <row r="61" spans="1:7">
      <c r="A61" s="80" t="s">
        <v>166</v>
      </c>
      <c r="B61" s="1">
        <v>162</v>
      </c>
      <c r="C61" s="186"/>
      <c r="D61" s="186"/>
      <c r="E61" s="6"/>
      <c r="F61" s="6"/>
      <c r="G61" s="78"/>
    </row>
    <row r="62" spans="1:7">
      <c r="A62" s="80" t="s">
        <v>167</v>
      </c>
      <c r="B62" s="1">
        <v>163</v>
      </c>
      <c r="C62" s="186"/>
      <c r="D62" s="186"/>
      <c r="E62" s="6"/>
      <c r="F62" s="6"/>
      <c r="G62" s="78"/>
    </row>
    <row r="63" spans="1:7">
      <c r="A63" s="80" t="s">
        <v>168</v>
      </c>
      <c r="B63" s="1">
        <v>164</v>
      </c>
      <c r="C63" s="186"/>
      <c r="D63" s="186"/>
      <c r="E63" s="6"/>
      <c r="F63" s="6"/>
      <c r="G63" s="78"/>
    </row>
    <row r="64" spans="1:7">
      <c r="A64" s="80" t="s">
        <v>169</v>
      </c>
      <c r="B64" s="1">
        <v>165</v>
      </c>
      <c r="C64" s="186"/>
      <c r="D64" s="186"/>
      <c r="E64" s="6"/>
      <c r="F64" s="6"/>
      <c r="G64" s="78"/>
    </row>
    <row r="65" spans="1:7">
      <c r="A65" s="80" t="s">
        <v>170</v>
      </c>
      <c r="B65" s="1">
        <v>166</v>
      </c>
      <c r="C65" s="186">
        <v>5485</v>
      </c>
      <c r="D65" s="186">
        <f>+C65-3005</f>
        <v>2480</v>
      </c>
      <c r="E65" s="186">
        <v>33085.589999999997</v>
      </c>
      <c r="F65" s="6">
        <f>+E65</f>
        <v>33085.589999999997</v>
      </c>
      <c r="G65" s="78"/>
    </row>
    <row r="66" spans="1:7">
      <c r="A66" s="80" t="s">
        <v>296</v>
      </c>
      <c r="B66" s="1">
        <v>167</v>
      </c>
      <c r="C66" s="185">
        <f t="shared" ref="C66:E66" si="12">C57-C65</f>
        <v>21944</v>
      </c>
      <c r="D66" s="185">
        <f>D57-D65</f>
        <v>9921</v>
      </c>
      <c r="E66" s="36">
        <f t="shared" si="12"/>
        <v>132342.37</v>
      </c>
      <c r="F66" s="36">
        <f>F57-F65</f>
        <v>132342.37</v>
      </c>
      <c r="G66" s="78"/>
    </row>
    <row r="67" spans="1:7">
      <c r="A67" s="80" t="s">
        <v>171</v>
      </c>
      <c r="B67" s="1">
        <v>168</v>
      </c>
      <c r="C67" s="42">
        <f>C56+C66</f>
        <v>450171598</v>
      </c>
      <c r="D67" s="42">
        <f>D56+D66</f>
        <v>490485114</v>
      </c>
      <c r="E67" s="42">
        <f>E56+E66</f>
        <v>503654900.37</v>
      </c>
      <c r="F67" s="42">
        <f>F56+F66</f>
        <v>398134324.37</v>
      </c>
      <c r="G67" s="78"/>
    </row>
    <row r="68" spans="1:7" ht="24">
      <c r="A68" s="101" t="s">
        <v>298</v>
      </c>
      <c r="B68" s="102"/>
      <c r="C68" s="102"/>
      <c r="D68" s="102"/>
      <c r="E68" s="102"/>
      <c r="F68" s="143"/>
      <c r="G68" s="78"/>
    </row>
    <row r="69" spans="1:7">
      <c r="A69" s="103" t="s">
        <v>172</v>
      </c>
      <c r="B69" s="104"/>
      <c r="C69" s="104"/>
      <c r="D69" s="104"/>
      <c r="E69" s="104"/>
      <c r="F69" s="144"/>
      <c r="G69" s="78"/>
    </row>
    <row r="70" spans="1:7">
      <c r="A70" s="80" t="s">
        <v>159</v>
      </c>
      <c r="B70" s="1">
        <v>169</v>
      </c>
      <c r="C70" s="6"/>
      <c r="D70" s="6"/>
      <c r="E70" s="6"/>
      <c r="F70" s="6"/>
      <c r="G70" s="78"/>
    </row>
    <row r="71" spans="1:7">
      <c r="A71" s="92" t="s">
        <v>160</v>
      </c>
      <c r="B71" s="4">
        <v>170</v>
      </c>
      <c r="C71" s="7"/>
      <c r="D71" s="7"/>
      <c r="E71" s="7"/>
      <c r="F71" s="7"/>
      <c r="G71" s="78"/>
    </row>
    <row r="75" spans="1:7">
      <c r="E75" s="78"/>
      <c r="F75" s="78"/>
    </row>
  </sheetData>
  <mergeCells count="2">
    <mergeCell ref="A1:F1"/>
    <mergeCell ref="A2:F2"/>
  </mergeCells>
  <phoneticPr fontId="6" type="noConversion"/>
  <dataValidations count="2">
    <dataValidation allowBlank="1" sqref="C70:F71 C53:F54 C7:F50 C58:F65"/>
    <dataValidation type="whole" operator="notEqual" allowBlank="1" showInputMessage="1" showErrorMessage="1" errorTitle="Pogrešan unos" error="Mogu se unijeti samo cjelobrojne vrijednosti." sqref="C66:F67 C56:F5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8"/>
  <sheetViews>
    <sheetView view="pageBreakPreview" zoomScaleNormal="100" zoomScaleSheetLayoutView="100" workbookViewId="0">
      <selection activeCell="E12" sqref="E12"/>
    </sheetView>
  </sheetViews>
  <sheetFormatPr defaultColWidth="9.140625" defaultRowHeight="12.75"/>
  <cols>
    <col min="1" max="1" width="62.5703125" style="113" customWidth="1"/>
    <col min="2" max="2" width="9.140625" style="35"/>
    <col min="3" max="3" width="13.5703125" style="35" bestFit="1" customWidth="1"/>
    <col min="4" max="4" width="12.85546875" style="35" bestFit="1" customWidth="1"/>
    <col min="5" max="5" width="14.7109375" style="35" customWidth="1"/>
    <col min="6" max="7" width="9.140625" style="35"/>
    <col min="8" max="8" width="41.85546875" style="35" bestFit="1" customWidth="1"/>
    <col min="9" max="10" width="9.140625" style="35"/>
    <col min="11" max="11" width="8.85546875" style="35" customWidth="1"/>
    <col min="12" max="16384" width="9.140625" style="35"/>
  </cols>
  <sheetData>
    <row r="1" spans="1:11" ht="15.75">
      <c r="A1" s="279" t="s">
        <v>245</v>
      </c>
      <c r="B1" s="279"/>
      <c r="C1" s="279"/>
      <c r="D1" s="279"/>
    </row>
    <row r="2" spans="1:11">
      <c r="A2" s="280" t="s">
        <v>295</v>
      </c>
      <c r="B2" s="280"/>
      <c r="C2" s="280"/>
      <c r="D2" s="280"/>
    </row>
    <row r="3" spans="1:11">
      <c r="A3" s="108" t="s">
        <v>264</v>
      </c>
      <c r="B3" s="109"/>
      <c r="C3" s="109"/>
      <c r="D3" s="110"/>
      <c r="E3" s="131"/>
      <c r="F3" s="131"/>
    </row>
    <row r="4" spans="1:11" ht="22.7" customHeight="1">
      <c r="A4" s="44" t="s">
        <v>33</v>
      </c>
      <c r="B4" s="44" t="s">
        <v>34</v>
      </c>
      <c r="C4" s="45" t="s">
        <v>35</v>
      </c>
      <c r="D4" s="45" t="s">
        <v>36</v>
      </c>
      <c r="E4" s="131"/>
      <c r="F4" s="131"/>
      <c r="H4" s="131"/>
      <c r="I4" s="131"/>
      <c r="J4" s="131"/>
      <c r="K4" s="131"/>
    </row>
    <row r="5" spans="1:11">
      <c r="A5" s="45">
        <v>1</v>
      </c>
      <c r="B5" s="46">
        <v>2</v>
      </c>
      <c r="C5" s="47" t="s">
        <v>4</v>
      </c>
      <c r="D5" s="47" t="s">
        <v>5</v>
      </c>
      <c r="E5" s="131"/>
      <c r="F5" s="131"/>
      <c r="H5" s="131"/>
      <c r="I5" s="131"/>
      <c r="J5" s="131"/>
      <c r="K5" s="131"/>
    </row>
    <row r="6" spans="1:11">
      <c r="A6" s="87" t="s">
        <v>176</v>
      </c>
      <c r="B6" s="106"/>
      <c r="C6" s="106"/>
      <c r="D6" s="107"/>
      <c r="E6" s="134"/>
      <c r="F6" s="130"/>
      <c r="H6" s="128"/>
      <c r="I6" s="129"/>
      <c r="J6" s="131"/>
      <c r="K6" s="131"/>
    </row>
    <row r="7" spans="1:11">
      <c r="A7" s="91" t="s">
        <v>177</v>
      </c>
      <c r="B7" s="1">
        <v>1</v>
      </c>
      <c r="C7" s="192">
        <v>450149654</v>
      </c>
      <c r="D7" s="193">
        <v>503522558</v>
      </c>
      <c r="E7" s="134"/>
      <c r="F7" s="125"/>
      <c r="H7" s="128"/>
      <c r="I7" s="129"/>
      <c r="J7" s="131"/>
      <c r="K7" s="131"/>
    </row>
    <row r="8" spans="1:11">
      <c r="A8" s="91" t="s">
        <v>178</v>
      </c>
      <c r="B8" s="1">
        <v>2</v>
      </c>
      <c r="C8" s="193">
        <v>215613149.09999999</v>
      </c>
      <c r="D8" s="193">
        <v>253711399</v>
      </c>
      <c r="E8" s="134"/>
      <c r="F8" s="125"/>
      <c r="H8" s="128"/>
      <c r="I8" s="129"/>
      <c r="J8" s="131"/>
      <c r="K8" s="131"/>
    </row>
    <row r="9" spans="1:11">
      <c r="A9" s="91" t="s">
        <v>179</v>
      </c>
      <c r="B9" s="1">
        <v>3</v>
      </c>
      <c r="C9" s="193">
        <v>59292838.109999999</v>
      </c>
      <c r="D9" s="193">
        <v>62199491</v>
      </c>
      <c r="E9" s="134"/>
      <c r="F9" s="125"/>
      <c r="H9" s="128"/>
      <c r="I9" s="129"/>
      <c r="J9" s="131"/>
      <c r="K9" s="131"/>
    </row>
    <row r="10" spans="1:11">
      <c r="A10" s="91" t="s">
        <v>180</v>
      </c>
      <c r="B10" s="1">
        <v>4</v>
      </c>
      <c r="C10" s="186"/>
      <c r="D10" s="193"/>
      <c r="E10" s="134"/>
      <c r="F10" s="125"/>
      <c r="H10" s="128"/>
      <c r="I10" s="129"/>
      <c r="J10" s="131"/>
      <c r="K10" s="131"/>
    </row>
    <row r="11" spans="1:11">
      <c r="A11" s="91" t="s">
        <v>181</v>
      </c>
      <c r="B11" s="1">
        <v>5</v>
      </c>
      <c r="C11" s="193">
        <v>945450.38</v>
      </c>
      <c r="D11" s="193">
        <v>3953672</v>
      </c>
      <c r="E11" s="134"/>
      <c r="F11" s="125"/>
      <c r="H11" s="128"/>
      <c r="I11" s="129"/>
      <c r="J11" s="131"/>
      <c r="K11" s="131"/>
    </row>
    <row r="12" spans="1:11" ht="14.25">
      <c r="A12" s="91" t="s">
        <v>182</v>
      </c>
      <c r="B12" s="1">
        <v>6</v>
      </c>
      <c r="C12" s="186"/>
      <c r="D12" s="193"/>
      <c r="E12" s="199">
        <v>14878204</v>
      </c>
      <c r="F12" s="125"/>
      <c r="H12" s="128"/>
      <c r="I12" s="129"/>
      <c r="J12" s="131"/>
      <c r="K12" s="131"/>
    </row>
    <row r="13" spans="1:11">
      <c r="A13" s="80" t="s">
        <v>183</v>
      </c>
      <c r="B13" s="1">
        <v>7</v>
      </c>
      <c r="C13" s="185">
        <f>SUM(C7:C12)</f>
        <v>726001091.59000003</v>
      </c>
      <c r="D13" s="185">
        <f>SUM(D7:D12)</f>
        <v>823387120</v>
      </c>
      <c r="E13" s="134"/>
      <c r="F13" s="125"/>
      <c r="H13" s="128"/>
      <c r="I13" s="129"/>
      <c r="J13" s="131"/>
      <c r="K13" s="131"/>
    </row>
    <row r="14" spans="1:11">
      <c r="A14" s="91" t="s">
        <v>184</v>
      </c>
      <c r="B14" s="1">
        <v>8</v>
      </c>
      <c r="C14" s="186"/>
      <c r="D14" s="195"/>
      <c r="E14" s="134"/>
      <c r="F14" s="125"/>
      <c r="H14" s="128"/>
      <c r="I14" s="129"/>
      <c r="J14" s="131"/>
      <c r="K14" s="131"/>
    </row>
    <row r="15" spans="1:11">
      <c r="A15" s="91" t="s">
        <v>185</v>
      </c>
      <c r="B15" s="1">
        <v>9</v>
      </c>
      <c r="C15" s="193">
        <v>83837226</v>
      </c>
      <c r="D15" s="195">
        <v>91181527</v>
      </c>
      <c r="E15" s="134"/>
      <c r="F15" s="125"/>
      <c r="H15" s="128"/>
      <c r="I15" s="129"/>
      <c r="J15" s="131"/>
      <c r="K15" s="131"/>
    </row>
    <row r="16" spans="1:11">
      <c r="A16" s="91" t="s">
        <v>186</v>
      </c>
      <c r="B16" s="1">
        <v>10</v>
      </c>
      <c r="C16" s="186"/>
      <c r="D16" s="195"/>
      <c r="E16" s="134"/>
      <c r="F16" s="125"/>
      <c r="H16" s="128"/>
      <c r="I16" s="129"/>
      <c r="J16" s="131"/>
      <c r="K16" s="131"/>
    </row>
    <row r="17" spans="1:11">
      <c r="A17" s="91" t="s">
        <v>187</v>
      </c>
      <c r="B17" s="1">
        <v>11</v>
      </c>
      <c r="C17" s="193">
        <v>36471037</v>
      </c>
      <c r="D17" s="195">
        <f>51023368-14878204</f>
        <v>36145164</v>
      </c>
      <c r="E17" s="134"/>
      <c r="F17" s="125"/>
      <c r="H17" s="126"/>
      <c r="I17" s="129"/>
      <c r="J17" s="131"/>
      <c r="K17" s="131"/>
    </row>
    <row r="18" spans="1:11">
      <c r="A18" s="80" t="s">
        <v>188</v>
      </c>
      <c r="B18" s="1">
        <v>12</v>
      </c>
      <c r="C18" s="185">
        <f>SUM(C14:C17)</f>
        <v>120308263</v>
      </c>
      <c r="D18" s="185">
        <f>SUM(D14:D17)</f>
        <v>127326691</v>
      </c>
      <c r="E18" s="134"/>
      <c r="F18" s="125"/>
      <c r="H18" s="126"/>
      <c r="I18" s="129"/>
      <c r="J18" s="131"/>
      <c r="K18" s="131"/>
    </row>
    <row r="19" spans="1:11">
      <c r="A19" s="80" t="s">
        <v>189</v>
      </c>
      <c r="B19" s="1">
        <v>13</v>
      </c>
      <c r="C19" s="185">
        <f>IF(C13&gt;C18,C13-C18,0)</f>
        <v>605692828.59000003</v>
      </c>
      <c r="D19" s="185">
        <f>IF(D13&gt;D18,D13-D18,0)</f>
        <v>696060429</v>
      </c>
      <c r="E19" s="134"/>
      <c r="F19" s="125"/>
      <c r="H19" s="126"/>
      <c r="I19" s="129"/>
      <c r="J19" s="131"/>
      <c r="K19" s="131"/>
    </row>
    <row r="20" spans="1:11">
      <c r="A20" s="80" t="s">
        <v>190</v>
      </c>
      <c r="B20" s="1">
        <v>14</v>
      </c>
      <c r="C20" s="185">
        <f>IF(C18&gt;C13,C18-C13,0)</f>
        <v>0</v>
      </c>
      <c r="D20" s="36">
        <f>IF(D18&gt;D13,D18-D13,0)</f>
        <v>0</v>
      </c>
      <c r="E20" s="134"/>
      <c r="F20" s="125"/>
      <c r="H20" s="126"/>
      <c r="I20" s="129"/>
      <c r="J20" s="131"/>
      <c r="K20" s="131"/>
    </row>
    <row r="21" spans="1:11">
      <c r="A21" s="87" t="s">
        <v>191</v>
      </c>
      <c r="B21" s="106"/>
      <c r="C21" s="106"/>
      <c r="D21" s="107"/>
      <c r="E21" s="134"/>
      <c r="F21" s="125"/>
      <c r="H21" s="128"/>
      <c r="I21" s="129"/>
      <c r="J21" s="131"/>
      <c r="K21" s="131"/>
    </row>
    <row r="22" spans="1:11">
      <c r="A22" s="91" t="s">
        <v>192</v>
      </c>
      <c r="B22" s="1">
        <v>15</v>
      </c>
      <c r="C22" s="186"/>
      <c r="D22" s="186"/>
      <c r="E22" s="134"/>
      <c r="F22" s="125"/>
      <c r="H22" s="126"/>
      <c r="I22" s="129"/>
      <c r="J22" s="131"/>
      <c r="K22" s="131"/>
    </row>
    <row r="23" spans="1:11">
      <c r="A23" s="91" t="s">
        <v>193</v>
      </c>
      <c r="B23" s="1">
        <v>16</v>
      </c>
      <c r="C23" s="194">
        <v>42284424</v>
      </c>
      <c r="D23" s="186"/>
      <c r="E23" s="134"/>
      <c r="F23" s="125"/>
      <c r="H23" s="132"/>
      <c r="I23" s="133"/>
      <c r="J23" s="131"/>
      <c r="K23" s="131"/>
    </row>
    <row r="24" spans="1:11">
      <c r="A24" s="91" t="s">
        <v>194</v>
      </c>
      <c r="B24" s="1">
        <v>17</v>
      </c>
      <c r="C24" s="186"/>
      <c r="D24" s="186"/>
      <c r="E24" s="134"/>
      <c r="F24" s="125"/>
      <c r="H24" s="132"/>
      <c r="I24" s="129"/>
      <c r="J24" s="131"/>
      <c r="K24" s="131"/>
    </row>
    <row r="25" spans="1:11">
      <c r="A25" s="91" t="s">
        <v>195</v>
      </c>
      <c r="B25" s="1">
        <v>18</v>
      </c>
      <c r="C25" s="186"/>
      <c r="D25" s="186"/>
      <c r="E25" s="134"/>
      <c r="F25" s="125"/>
      <c r="H25" s="132"/>
      <c r="I25" s="133"/>
      <c r="J25" s="131"/>
      <c r="K25" s="131"/>
    </row>
    <row r="26" spans="1:11">
      <c r="A26" s="91" t="s">
        <v>196</v>
      </c>
      <c r="B26" s="1">
        <v>19</v>
      </c>
      <c r="C26" s="194">
        <v>1650144</v>
      </c>
      <c r="D26" s="186"/>
      <c r="E26" s="134"/>
      <c r="F26" s="125"/>
      <c r="H26" s="132"/>
      <c r="I26" s="129"/>
      <c r="J26" s="131"/>
      <c r="K26" s="131"/>
    </row>
    <row r="27" spans="1:11">
      <c r="A27" s="80" t="s">
        <v>197</v>
      </c>
      <c r="B27" s="1">
        <v>20</v>
      </c>
      <c r="C27" s="185">
        <f>SUM(C22:C26)</f>
        <v>43934568</v>
      </c>
      <c r="D27" s="185">
        <f>SUM(D22:D26)</f>
        <v>0</v>
      </c>
      <c r="E27" s="134"/>
      <c r="F27" s="125"/>
      <c r="H27" s="132"/>
      <c r="I27" s="133"/>
      <c r="J27" s="131"/>
      <c r="K27" s="131"/>
    </row>
    <row r="28" spans="1:11">
      <c r="A28" s="91" t="s">
        <v>198</v>
      </c>
      <c r="B28" s="1">
        <v>21</v>
      </c>
      <c r="C28" s="194">
        <v>728523341</v>
      </c>
      <c r="D28" s="195">
        <v>511286295</v>
      </c>
      <c r="E28" s="124"/>
      <c r="F28" s="125"/>
      <c r="H28" s="132"/>
      <c r="I28" s="129"/>
      <c r="J28" s="131"/>
      <c r="K28" s="131"/>
    </row>
    <row r="29" spans="1:11">
      <c r="A29" s="91" t="s">
        <v>199</v>
      </c>
      <c r="B29" s="1">
        <v>22</v>
      </c>
      <c r="C29" s="186"/>
      <c r="D29" s="195">
        <v>157528743</v>
      </c>
      <c r="E29" s="134"/>
      <c r="F29" s="125"/>
      <c r="H29" s="132"/>
      <c r="I29" s="129"/>
      <c r="J29" s="131"/>
      <c r="K29" s="131"/>
    </row>
    <row r="30" spans="1:11">
      <c r="A30" s="91" t="s">
        <v>200</v>
      </c>
      <c r="B30" s="1">
        <v>23</v>
      </c>
      <c r="C30" s="186"/>
      <c r="D30" s="195">
        <v>81024</v>
      </c>
      <c r="E30" s="134"/>
      <c r="F30" s="125"/>
      <c r="H30" s="132"/>
      <c r="I30" s="129"/>
      <c r="J30" s="131"/>
      <c r="K30" s="131"/>
    </row>
    <row r="31" spans="1:11">
      <c r="A31" s="80" t="s">
        <v>201</v>
      </c>
      <c r="B31" s="1">
        <v>24</v>
      </c>
      <c r="C31" s="185">
        <f>SUM(C28:C30)</f>
        <v>728523341</v>
      </c>
      <c r="D31" s="185">
        <f>SUM(D28:D30)</f>
        <v>668896062</v>
      </c>
      <c r="E31" s="134"/>
      <c r="F31" s="125"/>
      <c r="H31" s="132"/>
      <c r="I31" s="129"/>
      <c r="J31" s="131"/>
      <c r="K31" s="131"/>
    </row>
    <row r="32" spans="1:11">
      <c r="A32" s="80" t="s">
        <v>202</v>
      </c>
      <c r="B32" s="1">
        <v>25</v>
      </c>
      <c r="C32" s="185">
        <f>IF(C27&gt;C31,C27-C31,0)</f>
        <v>0</v>
      </c>
      <c r="D32" s="185">
        <f>IF(D27&gt;D31,D27-D31,0)</f>
        <v>0</v>
      </c>
      <c r="E32" s="134"/>
      <c r="F32" s="125"/>
      <c r="H32" s="132"/>
      <c r="I32" s="133"/>
      <c r="J32" s="131"/>
      <c r="K32" s="131"/>
    </row>
    <row r="33" spans="1:11">
      <c r="A33" s="80" t="s">
        <v>203</v>
      </c>
      <c r="B33" s="1">
        <v>26</v>
      </c>
      <c r="C33" s="185">
        <f>IF(C31&gt;C27,C31-C27,0)</f>
        <v>684588773</v>
      </c>
      <c r="D33" s="185">
        <f>IF(D31&gt;D27,D31-D27,0)</f>
        <v>668896062</v>
      </c>
      <c r="E33" s="134"/>
      <c r="F33" s="125"/>
      <c r="H33" s="131"/>
      <c r="I33" s="131"/>
      <c r="J33" s="131"/>
      <c r="K33" s="131"/>
    </row>
    <row r="34" spans="1:11">
      <c r="A34" s="87" t="s">
        <v>204</v>
      </c>
      <c r="B34" s="106"/>
      <c r="C34" s="106"/>
      <c r="D34" s="107"/>
      <c r="E34" s="134"/>
      <c r="F34" s="125"/>
      <c r="H34" s="131"/>
      <c r="I34" s="131"/>
      <c r="J34" s="131"/>
      <c r="K34" s="131"/>
    </row>
    <row r="35" spans="1:11">
      <c r="A35" s="91" t="s">
        <v>205</v>
      </c>
      <c r="B35" s="1">
        <v>27</v>
      </c>
      <c r="C35" s="186">
        <v>1640052</v>
      </c>
      <c r="D35" s="196"/>
      <c r="E35" s="134"/>
      <c r="F35" s="125"/>
    </row>
    <row r="36" spans="1:11">
      <c r="A36" s="91" t="s">
        <v>206</v>
      </c>
      <c r="B36" s="1">
        <v>28</v>
      </c>
      <c r="C36" s="186">
        <v>233545474</v>
      </c>
      <c r="D36" s="195">
        <v>187569338</v>
      </c>
      <c r="E36" s="134"/>
      <c r="F36" s="125"/>
      <c r="G36" s="78"/>
    </row>
    <row r="37" spans="1:11">
      <c r="A37" s="91" t="s">
        <v>207</v>
      </c>
      <c r="B37" s="1">
        <v>29</v>
      </c>
      <c r="C37" s="186">
        <v>21944</v>
      </c>
      <c r="D37" s="195">
        <f>1368036+132342+331293</f>
        <v>1831671</v>
      </c>
      <c r="E37" s="134"/>
      <c r="F37" s="125"/>
    </row>
    <row r="38" spans="1:11">
      <c r="A38" s="80" t="s">
        <v>208</v>
      </c>
      <c r="B38" s="1">
        <v>30</v>
      </c>
      <c r="C38" s="185">
        <f>SUM(C35:C37)</f>
        <v>235207470</v>
      </c>
      <c r="D38" s="185">
        <f>SUM(D35:D37)</f>
        <v>189401009</v>
      </c>
      <c r="E38" s="134"/>
      <c r="F38" s="130"/>
      <c r="G38" s="78"/>
    </row>
    <row r="39" spans="1:11">
      <c r="A39" s="91" t="s">
        <v>209</v>
      </c>
      <c r="B39" s="1">
        <v>31</v>
      </c>
      <c r="C39" s="186"/>
      <c r="D39" s="195"/>
      <c r="E39" s="135"/>
      <c r="F39" s="131"/>
    </row>
    <row r="40" spans="1:11">
      <c r="A40" s="91" t="s">
        <v>210</v>
      </c>
      <c r="B40" s="1">
        <v>32</v>
      </c>
      <c r="C40" s="197">
        <v>98342354</v>
      </c>
      <c r="D40" s="195">
        <v>111730149</v>
      </c>
      <c r="E40" s="126"/>
      <c r="F40" s="129"/>
      <c r="H40" s="78"/>
    </row>
    <row r="41" spans="1:11">
      <c r="A41" s="91" t="s">
        <v>211</v>
      </c>
      <c r="B41" s="1">
        <v>33</v>
      </c>
      <c r="C41" s="186"/>
      <c r="D41" s="195"/>
      <c r="E41" s="126"/>
      <c r="F41" s="129"/>
      <c r="H41" s="78"/>
    </row>
    <row r="42" spans="1:11">
      <c r="A42" s="91" t="s">
        <v>212</v>
      </c>
      <c r="B42" s="1">
        <v>34</v>
      </c>
      <c r="D42" s="195">
        <v>15112772</v>
      </c>
      <c r="E42" s="126"/>
      <c r="F42" s="129"/>
      <c r="H42" s="78"/>
    </row>
    <row r="43" spans="1:11">
      <c r="A43" s="91" t="s">
        <v>213</v>
      </c>
      <c r="B43" s="1">
        <v>35</v>
      </c>
      <c r="C43" s="194">
        <v>10214958.73</v>
      </c>
      <c r="D43" s="195"/>
      <c r="E43" s="126"/>
      <c r="F43" s="129"/>
    </row>
    <row r="44" spans="1:11">
      <c r="A44" s="80" t="s">
        <v>214</v>
      </c>
      <c r="B44" s="1">
        <v>36</v>
      </c>
      <c r="C44" s="185">
        <f>SUM(C39:C43)</f>
        <v>108557312.73</v>
      </c>
      <c r="D44" s="185">
        <f>SUM(D39:D43)</f>
        <v>126842921</v>
      </c>
      <c r="E44" s="126"/>
      <c r="F44" s="129"/>
      <c r="G44" s="78"/>
    </row>
    <row r="45" spans="1:11">
      <c r="A45" s="80" t="s">
        <v>215</v>
      </c>
      <c r="B45" s="1">
        <v>37</v>
      </c>
      <c r="C45" s="185">
        <f>IF(C38&gt;C44,C38-C44,0)</f>
        <v>126650157.27</v>
      </c>
      <c r="D45" s="185">
        <f>IF(D38&gt;D44,D38-D44,0)</f>
        <v>62558088</v>
      </c>
      <c r="E45" s="126"/>
      <c r="F45" s="129"/>
    </row>
    <row r="46" spans="1:11">
      <c r="A46" s="80" t="s">
        <v>216</v>
      </c>
      <c r="B46" s="1">
        <v>38</v>
      </c>
      <c r="C46" s="185">
        <f>IF(C44&gt;C38,C44-C38,0)</f>
        <v>0</v>
      </c>
      <c r="D46" s="185">
        <f>IF(D44&gt;D38,D44-D38,0)</f>
        <v>0</v>
      </c>
      <c r="E46" s="126"/>
      <c r="F46" s="129"/>
      <c r="G46" s="78"/>
    </row>
    <row r="47" spans="1:11">
      <c r="A47" s="91" t="s">
        <v>217</v>
      </c>
      <c r="B47" s="1">
        <v>39</v>
      </c>
      <c r="C47" s="185">
        <f>IF(C19-C20+C32-C33+C45-C46&gt;0,C19-C20+C32-C33+C45-C46,0)</f>
        <v>47754212.860000029</v>
      </c>
      <c r="D47" s="185">
        <f>IF(D19-D20+D32-D33+D45-D46&gt;0,D19-D20+D32-D33+D45-D46,0)</f>
        <v>89722455</v>
      </c>
      <c r="E47" s="126"/>
      <c r="F47" s="129"/>
      <c r="G47" s="78"/>
    </row>
    <row r="48" spans="1:11">
      <c r="A48" s="91" t="s">
        <v>218</v>
      </c>
      <c r="B48" s="1">
        <v>40</v>
      </c>
      <c r="C48" s="185">
        <f>IF(C20-C19+C33-C32+C46-C45&gt;0,C20-C19+C33-C32+C46-C45,0)</f>
        <v>0</v>
      </c>
      <c r="D48" s="185">
        <f>IF(D20-D19+D33-D32+D46-D45&gt;0,D20-D19+D33-D32+D46-D45,0)</f>
        <v>0</v>
      </c>
      <c r="E48" s="126"/>
      <c r="F48" s="129"/>
      <c r="G48" s="78"/>
    </row>
    <row r="49" spans="1:6">
      <c r="A49" s="91" t="s">
        <v>219</v>
      </c>
      <c r="B49" s="1">
        <v>41</v>
      </c>
      <c r="C49" s="194">
        <v>237647697</v>
      </c>
      <c r="D49" s="195">
        <v>237400810.31</v>
      </c>
      <c r="E49" s="126"/>
      <c r="F49" s="129"/>
    </row>
    <row r="50" spans="1:6">
      <c r="A50" s="91" t="s">
        <v>220</v>
      </c>
      <c r="B50" s="1">
        <v>42</v>
      </c>
      <c r="C50" s="186">
        <f>+C47</f>
        <v>47754212.860000029</v>
      </c>
      <c r="D50" s="186">
        <f>+D47</f>
        <v>89722455</v>
      </c>
      <c r="E50" s="126"/>
      <c r="F50" s="129"/>
    </row>
    <row r="51" spans="1:6">
      <c r="A51" s="91" t="s">
        <v>221</v>
      </c>
      <c r="B51" s="1">
        <v>43</v>
      </c>
      <c r="C51" s="186">
        <f>+C48</f>
        <v>0</v>
      </c>
      <c r="D51" s="186">
        <f>+D48</f>
        <v>0</v>
      </c>
      <c r="E51" s="126"/>
      <c r="F51" s="129"/>
    </row>
    <row r="52" spans="1:6">
      <c r="A52" s="81" t="s">
        <v>222</v>
      </c>
      <c r="B52" s="4">
        <v>44</v>
      </c>
      <c r="C52" s="42">
        <f>C49+C50-C51</f>
        <v>285401909.86000001</v>
      </c>
      <c r="D52" s="42">
        <f>D49+D50-D51</f>
        <v>327123265.31</v>
      </c>
      <c r="E52" s="128"/>
      <c r="F52" s="129"/>
    </row>
    <row r="53" spans="1:6">
      <c r="C53" s="78"/>
      <c r="D53" s="78"/>
      <c r="E53" s="132"/>
      <c r="F53" s="127"/>
    </row>
    <row r="54" spans="1:6">
      <c r="C54" s="79"/>
      <c r="D54" s="79">
        <f>+D52-'Balance sheet'!D64</f>
        <v>0.31000000238418579</v>
      </c>
    </row>
    <row r="55" spans="1:6">
      <c r="C55" s="187"/>
      <c r="D55" s="78"/>
    </row>
    <row r="57" spans="1:6">
      <c r="C57" s="78"/>
      <c r="D57" s="78"/>
    </row>
    <row r="58" spans="1:6">
      <c r="D58" s="78"/>
    </row>
  </sheetData>
  <protectedRanges>
    <protectedRange sqref="D14" name="Range1_11_1_1_2_1"/>
    <protectedRange sqref="D22 D24" name="Range1_12_2_3_1_1"/>
    <protectedRange sqref="D30" name="Range1_13_1_1_3_1_1"/>
    <protectedRange sqref="C14" name="Range1_11_1_1_2_1_1"/>
    <protectedRange sqref="C22 C24" name="Range1_12_2_3_1_1_1"/>
    <protectedRange sqref="C30" name="Range1_13_1_1_3_1_1_1"/>
  </protectedRanges>
  <mergeCells count="2">
    <mergeCell ref="A1:D1"/>
    <mergeCell ref="A2:D2"/>
  </mergeCells>
  <phoneticPr fontId="6" type="noConversion"/>
  <dataValidations count="2">
    <dataValidation allowBlank="1" sqref="D18:D20 D31:D33 D51:D52 C52 C7:C20 D13 C22:C33 D22:D27 D38 D44:D48 C35:C41 C43:C49"/>
    <dataValidation type="whole" operator="notEqual" allowBlank="1" showInputMessage="1" showErrorMessage="1" errorTitle="Pogrešan unos" error="Mogu se unijeti samo cjelobrojne vrijednosti." sqref="C50:C51 D50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Normal="100" zoomScaleSheetLayoutView="100" workbookViewId="0">
      <selection activeCell="K8" sqref="K8"/>
    </sheetView>
  </sheetViews>
  <sheetFormatPr defaultColWidth="9.140625" defaultRowHeight="12.75"/>
  <cols>
    <col min="1" max="4" width="9.140625" style="48"/>
    <col min="5" max="5" width="10.140625" style="48" bestFit="1" customWidth="1"/>
    <col min="6" max="9" width="9.140625" style="48"/>
    <col min="10" max="10" width="10.85546875" style="48" bestFit="1" customWidth="1"/>
    <col min="11" max="11" width="11.7109375" style="48" bestFit="1" customWidth="1"/>
    <col min="12" max="12" width="11.42578125" style="180" bestFit="1" customWidth="1"/>
    <col min="13" max="16384" width="9.140625" style="48"/>
  </cols>
  <sheetData>
    <row r="1" spans="1:12">
      <c r="A1" s="284" t="s">
        <v>243</v>
      </c>
      <c r="B1" s="285"/>
      <c r="C1" s="285"/>
      <c r="D1" s="285"/>
      <c r="E1" s="285"/>
      <c r="F1" s="285"/>
      <c r="G1" s="285"/>
      <c r="H1" s="285"/>
      <c r="I1" s="285"/>
      <c r="J1" s="285"/>
      <c r="K1" s="286"/>
      <c r="L1" s="49"/>
    </row>
    <row r="2" spans="1:12" ht="15.75">
      <c r="A2" s="182"/>
      <c r="B2" s="179"/>
      <c r="C2" s="300" t="s">
        <v>223</v>
      </c>
      <c r="D2" s="300"/>
      <c r="E2" s="176">
        <v>43101</v>
      </c>
      <c r="F2" s="175" t="s">
        <v>32</v>
      </c>
      <c r="G2" s="301">
        <v>43373</v>
      </c>
      <c r="H2" s="302"/>
      <c r="I2" s="179"/>
      <c r="J2" s="179"/>
      <c r="K2" s="183"/>
      <c r="L2" s="49"/>
    </row>
    <row r="3" spans="1:12" ht="22.5">
      <c r="A3" s="303" t="s">
        <v>33</v>
      </c>
      <c r="B3" s="303"/>
      <c r="C3" s="303"/>
      <c r="D3" s="303"/>
      <c r="E3" s="303"/>
      <c r="F3" s="303"/>
      <c r="G3" s="303"/>
      <c r="H3" s="303"/>
      <c r="I3" s="177" t="s">
        <v>34</v>
      </c>
      <c r="J3" s="50" t="s">
        <v>224</v>
      </c>
      <c r="K3" s="50" t="s">
        <v>225</v>
      </c>
    </row>
    <row r="4" spans="1:12">
      <c r="A4" s="304">
        <v>1</v>
      </c>
      <c r="B4" s="304"/>
      <c r="C4" s="304"/>
      <c r="D4" s="304"/>
      <c r="E4" s="304"/>
      <c r="F4" s="304"/>
      <c r="G4" s="304"/>
      <c r="H4" s="304"/>
      <c r="I4" s="51">
        <v>2</v>
      </c>
      <c r="J4" s="178" t="s">
        <v>4</v>
      </c>
      <c r="K4" s="178" t="s">
        <v>5</v>
      </c>
    </row>
    <row r="5" spans="1:12">
      <c r="A5" s="287" t="s">
        <v>226</v>
      </c>
      <c r="B5" s="288"/>
      <c r="C5" s="288"/>
      <c r="D5" s="288"/>
      <c r="E5" s="288"/>
      <c r="F5" s="288"/>
      <c r="G5" s="288"/>
      <c r="H5" s="288"/>
      <c r="I5" s="31">
        <v>1</v>
      </c>
      <c r="J5" s="5">
        <f>+'Balance sheet'!C70</f>
        <v>1672021210</v>
      </c>
      <c r="K5" s="5">
        <f>+'Balance sheet'!D70</f>
        <v>1672021210</v>
      </c>
      <c r="L5" s="190"/>
    </row>
    <row r="6" spans="1:12">
      <c r="A6" s="287" t="s">
        <v>227</v>
      </c>
      <c r="B6" s="288"/>
      <c r="C6" s="288"/>
      <c r="D6" s="288"/>
      <c r="E6" s="288"/>
      <c r="F6" s="288"/>
      <c r="G6" s="288"/>
      <c r="H6" s="288"/>
      <c r="I6" s="31">
        <v>2</v>
      </c>
      <c r="J6" s="6">
        <f>+'Balance sheet'!C71</f>
        <v>3602906</v>
      </c>
      <c r="K6" s="6">
        <f>+'Balance sheet'!D71</f>
        <v>5302235</v>
      </c>
      <c r="L6" s="190"/>
    </row>
    <row r="7" spans="1:12">
      <c r="A7" s="287" t="s">
        <v>228</v>
      </c>
      <c r="B7" s="288"/>
      <c r="C7" s="288"/>
      <c r="D7" s="288"/>
      <c r="E7" s="288"/>
      <c r="F7" s="288"/>
      <c r="G7" s="288"/>
      <c r="H7" s="288"/>
      <c r="I7" s="31">
        <v>3</v>
      </c>
      <c r="J7" s="6">
        <f>+'Balance sheet'!C72</f>
        <v>102055847</v>
      </c>
      <c r="K7" s="6">
        <f>+'Balance sheet'!D72</f>
        <v>98943075</v>
      </c>
      <c r="L7" s="190"/>
    </row>
    <row r="8" spans="1:12">
      <c r="A8" s="287" t="s">
        <v>229</v>
      </c>
      <c r="B8" s="288"/>
      <c r="C8" s="288"/>
      <c r="D8" s="288"/>
      <c r="E8" s="288"/>
      <c r="F8" s="288"/>
      <c r="G8" s="288"/>
      <c r="H8" s="288"/>
      <c r="I8" s="31">
        <v>4</v>
      </c>
      <c r="J8" s="6">
        <f>+'Balance sheet'!C79</f>
        <v>385175162</v>
      </c>
      <c r="K8" s="6">
        <f>+'Balance sheet'!D79</f>
        <v>493424087</v>
      </c>
      <c r="L8" s="190"/>
    </row>
    <row r="9" spans="1:12">
      <c r="A9" s="287" t="s">
        <v>230</v>
      </c>
      <c r="B9" s="288"/>
      <c r="C9" s="288"/>
      <c r="D9" s="288"/>
      <c r="E9" s="288"/>
      <c r="F9" s="288"/>
      <c r="G9" s="288"/>
      <c r="H9" s="288"/>
      <c r="I9" s="31">
        <v>5</v>
      </c>
      <c r="J9" s="6">
        <f>+'Balance sheet'!C82</f>
        <v>231979074</v>
      </c>
      <c r="K9" s="6">
        <f>+'Balance sheet'!D82</f>
        <v>503522558</v>
      </c>
      <c r="L9" s="190"/>
    </row>
    <row r="10" spans="1:12">
      <c r="A10" s="287" t="s">
        <v>231</v>
      </c>
      <c r="B10" s="288"/>
      <c r="C10" s="288"/>
      <c r="D10" s="288"/>
      <c r="E10" s="288"/>
      <c r="F10" s="288"/>
      <c r="G10" s="288"/>
      <c r="H10" s="288"/>
      <c r="I10" s="31">
        <v>6</v>
      </c>
      <c r="J10" s="6"/>
      <c r="K10" s="6"/>
      <c r="L10" s="191"/>
    </row>
    <row r="11" spans="1:12">
      <c r="A11" s="287" t="s">
        <v>232</v>
      </c>
      <c r="B11" s="288"/>
      <c r="C11" s="288"/>
      <c r="D11" s="288"/>
      <c r="E11" s="288"/>
      <c r="F11" s="288"/>
      <c r="G11" s="288"/>
      <c r="H11" s="288"/>
      <c r="I11" s="31">
        <v>7</v>
      </c>
      <c r="J11" s="6"/>
      <c r="K11" s="6"/>
      <c r="L11" s="191"/>
    </row>
    <row r="12" spans="1:12">
      <c r="A12" s="287" t="s">
        <v>233</v>
      </c>
      <c r="B12" s="288"/>
      <c r="C12" s="288"/>
      <c r="D12" s="288"/>
      <c r="E12" s="288"/>
      <c r="F12" s="288"/>
      <c r="G12" s="288"/>
      <c r="H12" s="288"/>
      <c r="I12" s="31">
        <v>8</v>
      </c>
      <c r="J12" s="6">
        <f>+'Balance sheet'!C78</f>
        <v>634097</v>
      </c>
      <c r="K12" s="6">
        <f>+'Balance sheet'!D78</f>
        <v>766439</v>
      </c>
      <c r="L12" s="190"/>
    </row>
    <row r="13" spans="1:12">
      <c r="A13" s="295" t="s">
        <v>247</v>
      </c>
      <c r="B13" s="288"/>
      <c r="C13" s="288"/>
      <c r="D13" s="288"/>
      <c r="E13" s="288"/>
      <c r="F13" s="288"/>
      <c r="G13" s="288"/>
      <c r="H13" s="288"/>
      <c r="I13" s="31">
        <v>9</v>
      </c>
      <c r="J13" s="6"/>
      <c r="K13" s="6"/>
      <c r="L13" s="191"/>
    </row>
    <row r="14" spans="1:12">
      <c r="A14" s="289" t="s">
        <v>234</v>
      </c>
      <c r="B14" s="290"/>
      <c r="C14" s="290"/>
      <c r="D14" s="290"/>
      <c r="E14" s="290"/>
      <c r="F14" s="290"/>
      <c r="G14" s="290"/>
      <c r="H14" s="290"/>
      <c r="I14" s="31">
        <v>10</v>
      </c>
      <c r="J14" s="6">
        <f>SUM(J5:J13)</f>
        <v>2395468296</v>
      </c>
      <c r="K14" s="36">
        <f>SUM(K5:K13)</f>
        <v>2773979604</v>
      </c>
      <c r="L14" s="190"/>
    </row>
    <row r="15" spans="1:12">
      <c r="A15" s="295" t="s">
        <v>293</v>
      </c>
      <c r="B15" s="288"/>
      <c r="C15" s="288"/>
      <c r="D15" s="288"/>
      <c r="E15" s="288"/>
      <c r="F15" s="288"/>
      <c r="G15" s="288"/>
      <c r="H15" s="288"/>
      <c r="I15" s="31">
        <v>11</v>
      </c>
      <c r="J15" s="6"/>
      <c r="K15" s="6"/>
      <c r="L15" s="191"/>
    </row>
    <row r="16" spans="1:12">
      <c r="A16" s="287" t="s">
        <v>242</v>
      </c>
      <c r="B16" s="288"/>
      <c r="C16" s="288"/>
      <c r="D16" s="288"/>
      <c r="E16" s="288"/>
      <c r="F16" s="288"/>
      <c r="G16" s="288"/>
      <c r="H16" s="288"/>
      <c r="I16" s="31">
        <v>12</v>
      </c>
      <c r="J16" s="6"/>
      <c r="K16" s="6"/>
      <c r="L16" s="181"/>
    </row>
    <row r="17" spans="1:12">
      <c r="A17" s="287" t="s">
        <v>241</v>
      </c>
      <c r="B17" s="288"/>
      <c r="C17" s="288"/>
      <c r="D17" s="288"/>
      <c r="E17" s="288"/>
      <c r="F17" s="288"/>
      <c r="G17" s="288"/>
      <c r="H17" s="288"/>
      <c r="I17" s="31">
        <v>13</v>
      </c>
      <c r="J17" s="6"/>
      <c r="K17" s="6"/>
      <c r="L17" s="181"/>
    </row>
    <row r="18" spans="1:12">
      <c r="A18" s="287" t="s">
        <v>240</v>
      </c>
      <c r="B18" s="288"/>
      <c r="C18" s="288"/>
      <c r="D18" s="288"/>
      <c r="E18" s="288"/>
      <c r="F18" s="288"/>
      <c r="G18" s="288"/>
      <c r="H18" s="288"/>
      <c r="I18" s="31">
        <v>14</v>
      </c>
      <c r="J18" s="6"/>
      <c r="K18" s="6"/>
      <c r="L18" s="181"/>
    </row>
    <row r="19" spans="1:12">
      <c r="A19" s="287" t="s">
        <v>239</v>
      </c>
      <c r="B19" s="288"/>
      <c r="C19" s="288"/>
      <c r="D19" s="288"/>
      <c r="E19" s="288"/>
      <c r="F19" s="288"/>
      <c r="G19" s="288"/>
      <c r="H19" s="288"/>
      <c r="I19" s="31">
        <v>15</v>
      </c>
      <c r="J19" s="6"/>
      <c r="K19" s="6"/>
      <c r="L19" s="181"/>
    </row>
    <row r="20" spans="1:12">
      <c r="A20" s="287" t="s">
        <v>238</v>
      </c>
      <c r="B20" s="288"/>
      <c r="C20" s="288"/>
      <c r="D20" s="288"/>
      <c r="E20" s="288"/>
      <c r="F20" s="288"/>
      <c r="G20" s="288"/>
      <c r="H20" s="288"/>
      <c r="I20" s="31">
        <v>16</v>
      </c>
      <c r="J20" s="6"/>
      <c r="K20" s="6"/>
      <c r="L20" s="181"/>
    </row>
    <row r="21" spans="1:12">
      <c r="A21" s="289" t="s">
        <v>237</v>
      </c>
      <c r="B21" s="290"/>
      <c r="C21" s="290"/>
      <c r="D21" s="290"/>
      <c r="E21" s="290"/>
      <c r="F21" s="290"/>
      <c r="G21" s="290"/>
      <c r="H21" s="290"/>
      <c r="I21" s="31">
        <v>17</v>
      </c>
      <c r="J21" s="42">
        <f>SUM(J15:J20)</f>
        <v>0</v>
      </c>
      <c r="K21" s="42">
        <f>SUM(K15:K20)</f>
        <v>0</v>
      </c>
      <c r="L21" s="181"/>
    </row>
    <row r="22" spans="1:12">
      <c r="A22" s="291"/>
      <c r="B22" s="292"/>
      <c r="C22" s="292"/>
      <c r="D22" s="292"/>
      <c r="E22" s="292"/>
      <c r="F22" s="292"/>
      <c r="G22" s="292"/>
      <c r="H22" s="292"/>
      <c r="I22" s="293"/>
      <c r="J22" s="293"/>
      <c r="K22" s="294"/>
      <c r="L22" s="181"/>
    </row>
    <row r="23" spans="1:12">
      <c r="A23" s="296" t="s">
        <v>236</v>
      </c>
      <c r="B23" s="297"/>
      <c r="C23" s="297"/>
      <c r="D23" s="297"/>
      <c r="E23" s="297"/>
      <c r="F23" s="297"/>
      <c r="G23" s="297"/>
      <c r="H23" s="297"/>
      <c r="I23" s="32">
        <v>18</v>
      </c>
      <c r="J23" s="5"/>
      <c r="K23" s="5"/>
      <c r="L23" s="181"/>
    </row>
    <row r="24" spans="1:12">
      <c r="A24" s="298" t="s">
        <v>235</v>
      </c>
      <c r="B24" s="299"/>
      <c r="C24" s="299"/>
      <c r="D24" s="299"/>
      <c r="E24" s="299"/>
      <c r="F24" s="299"/>
      <c r="G24" s="299"/>
      <c r="H24" s="299"/>
      <c r="I24" s="33">
        <v>19</v>
      </c>
      <c r="J24" s="42"/>
      <c r="K24" s="42"/>
      <c r="L24" s="181"/>
    </row>
    <row r="25" spans="1:12" ht="30.2" customHeight="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6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K14 L5:L15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Vlatka Kocijan</cp:lastModifiedBy>
  <cp:lastPrinted>2015-10-12T11:47:13Z</cp:lastPrinted>
  <dcterms:created xsi:type="dcterms:W3CDTF">2008-10-17T11:51:54Z</dcterms:created>
  <dcterms:modified xsi:type="dcterms:W3CDTF">2018-10-25T08:07:10Z</dcterms:modified>
</cp:coreProperties>
</file>