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255" windowWidth="15480" windowHeight="9435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D109" i="19" l="1"/>
  <c r="D25" i="19"/>
  <c r="D18" i="19"/>
  <c r="D112" i="19" l="1"/>
  <c r="K5" i="17"/>
  <c r="J5" i="17"/>
  <c r="D80" i="19"/>
  <c r="D9" i="20"/>
  <c r="K8" i="17" l="1"/>
  <c r="D21" i="18" l="1"/>
  <c r="D20" i="18"/>
  <c r="D19" i="18"/>
  <c r="D18" i="18"/>
  <c r="D17" i="18"/>
  <c r="F53" i="18"/>
  <c r="F37" i="18"/>
  <c r="F36" i="18"/>
  <c r="F35" i="18"/>
  <c r="F32" i="18"/>
  <c r="F31" i="18"/>
  <c r="F29" i="18"/>
  <c r="F28" i="18"/>
  <c r="F26" i="18"/>
  <c r="F24" i="18"/>
  <c r="F21" i="18"/>
  <c r="F20" i="18"/>
  <c r="F19" i="18"/>
  <c r="F18" i="18"/>
  <c r="F17" i="18"/>
  <c r="F15" i="18"/>
  <c r="F14" i="18"/>
  <c r="F13" i="18"/>
  <c r="E9" i="18"/>
  <c r="F9" i="18" s="1"/>
  <c r="F8" i="18"/>
  <c r="D56" i="19"/>
  <c r="C44" i="20"/>
  <c r="C18" i="20"/>
  <c r="C13" i="20"/>
  <c r="D37" i="18"/>
  <c r="D35" i="18"/>
  <c r="D32" i="18"/>
  <c r="D31" i="18"/>
  <c r="D29" i="18"/>
  <c r="D26" i="18"/>
  <c r="D24" i="18"/>
  <c r="D15" i="18"/>
  <c r="D14" i="18"/>
  <c r="D13" i="18"/>
  <c r="C9" i="18"/>
  <c r="D9" i="18" s="1"/>
  <c r="D8" i="18"/>
  <c r="K14" i="17" l="1"/>
  <c r="C38" i="20" l="1"/>
  <c r="C45" i="20" s="1"/>
  <c r="C31" i="20"/>
  <c r="C27" i="20"/>
  <c r="C32" i="20" l="1"/>
  <c r="C46" i="20"/>
  <c r="C33" i="20"/>
  <c r="F65" i="18"/>
  <c r="E65" i="18"/>
  <c r="C41" i="19"/>
  <c r="D41" i="19"/>
  <c r="C56" i="19"/>
  <c r="C16" i="19"/>
  <c r="D16" i="19"/>
  <c r="D44" i="20" l="1"/>
  <c r="D38" i="20"/>
  <c r="D31" i="20"/>
  <c r="D27" i="20"/>
  <c r="D18" i="20"/>
  <c r="D13" i="20"/>
  <c r="F33" i="18"/>
  <c r="E33" i="18"/>
  <c r="D33" i="18"/>
  <c r="C33" i="18"/>
  <c r="F27" i="18"/>
  <c r="E27" i="18"/>
  <c r="D27" i="18"/>
  <c r="C27" i="18"/>
  <c r="F22" i="18"/>
  <c r="E22" i="18"/>
  <c r="D22" i="18"/>
  <c r="C22" i="18"/>
  <c r="F16" i="18"/>
  <c r="E16" i="18"/>
  <c r="D16" i="18"/>
  <c r="C16" i="18"/>
  <c r="F12" i="18"/>
  <c r="E12" i="18"/>
  <c r="D12" i="18"/>
  <c r="C12" i="18"/>
  <c r="F7" i="18"/>
  <c r="E7" i="18"/>
  <c r="D7" i="18"/>
  <c r="C7" i="18"/>
  <c r="C10" i="18" l="1"/>
  <c r="C43" i="18" s="1"/>
  <c r="F10" i="18"/>
  <c r="F43" i="18" s="1"/>
  <c r="C42" i="18"/>
  <c r="C44" i="18" s="1"/>
  <c r="C48" i="18" s="1"/>
  <c r="C53" i="18" s="1"/>
  <c r="F42" i="18"/>
  <c r="D33" i="20"/>
  <c r="D32" i="20"/>
  <c r="D20" i="20"/>
  <c r="D10" i="18"/>
  <c r="D43" i="18" s="1"/>
  <c r="D45" i="20"/>
  <c r="D46" i="20"/>
  <c r="D19" i="20"/>
  <c r="E42" i="18"/>
  <c r="D42" i="18"/>
  <c r="E10" i="18"/>
  <c r="E43" i="18" s="1"/>
  <c r="C45" i="18"/>
  <c r="F45" i="18"/>
  <c r="J21" i="17"/>
  <c r="J14" i="17"/>
  <c r="K21" i="17"/>
  <c r="F46" i="18" l="1"/>
  <c r="F44" i="18"/>
  <c r="F48" i="18" s="1"/>
  <c r="F49" i="18" s="1"/>
  <c r="C46" i="18"/>
  <c r="E44" i="18"/>
  <c r="E48" i="18" s="1"/>
  <c r="E53" i="18" s="1"/>
  <c r="D47" i="20"/>
  <c r="D46" i="18"/>
  <c r="D48" i="20"/>
  <c r="D44" i="18"/>
  <c r="E45" i="18"/>
  <c r="D45" i="18"/>
  <c r="E46" i="18"/>
  <c r="C50" i="18"/>
  <c r="C49" i="18"/>
  <c r="D51" i="20" l="1"/>
  <c r="F50" i="18"/>
  <c r="E49" i="18"/>
  <c r="E50" i="18"/>
  <c r="D48" i="18"/>
  <c r="D53" i="18" s="1"/>
  <c r="D52" i="20"/>
  <c r="D55" i="20" s="1"/>
  <c r="D50" i="18" l="1"/>
  <c r="D49" i="18"/>
  <c r="F57" i="18"/>
  <c r="F66" i="18" s="1"/>
  <c r="E57" i="18" l="1"/>
  <c r="E66" i="18" s="1"/>
  <c r="F56" i="18" l="1"/>
  <c r="F67" i="18" s="1"/>
  <c r="E56" i="18" l="1"/>
  <c r="E67" i="18" s="1"/>
  <c r="D100" i="19" l="1"/>
  <c r="D119" i="19"/>
  <c r="D90" i="19"/>
  <c r="D86" i="19"/>
  <c r="D82" i="19"/>
  <c r="D79" i="19"/>
  <c r="D72" i="19"/>
  <c r="D49" i="19"/>
  <c r="D35" i="19"/>
  <c r="D26" i="19"/>
  <c r="D9" i="19"/>
  <c r="D69" i="19" l="1"/>
  <c r="D8" i="19"/>
  <c r="D40" i="19"/>
  <c r="D114" i="19" l="1"/>
  <c r="D66" i="19"/>
  <c r="D57" i="18"/>
  <c r="D66" i="18" s="1"/>
  <c r="C57" i="18"/>
  <c r="C66" i="18" s="1"/>
  <c r="C100" i="19"/>
  <c r="C90" i="19"/>
  <c r="C86" i="19"/>
  <c r="C82" i="19"/>
  <c r="C79" i="19"/>
  <c r="C72" i="19"/>
  <c r="C49" i="19"/>
  <c r="C40" i="19" s="1"/>
  <c r="C35" i="19"/>
  <c r="C26" i="19"/>
  <c r="C9" i="19"/>
  <c r="C8" i="19" l="1"/>
  <c r="C66" i="19" s="1"/>
  <c r="C19" i="20"/>
  <c r="C47" i="20" s="1"/>
  <c r="C20" i="20"/>
  <c r="C48" i="20" s="1"/>
  <c r="C51" i="20" s="1"/>
  <c r="D121" i="19"/>
  <c r="C69" i="19"/>
  <c r="D56" i="18"/>
  <c r="D67" i="18" s="1"/>
  <c r="C119" i="19"/>
  <c r="C114" i="19" l="1"/>
  <c r="C121" i="19" s="1"/>
  <c r="C52" i="20"/>
  <c r="C56" i="18"/>
  <c r="C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<sst xmlns="http://schemas.openxmlformats.org/spreadsheetml/2006/main" count="337" uniqueCount="300">
  <si>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</si>
  <si>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</si>
  <si>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</si>
  <si>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</si>
  <si>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</si>
  <si>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</si>
  <si>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</si>
  <si>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</si>
  <si>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</si>
  <si>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</si>
  <si>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</si>
  <si>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</si>
  <si>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</si>
  <si>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</si>
  <si>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</si>
  <si>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</si>
  <si>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</si>
  <si>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</si>
  <si>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</si>
  <si>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</si>
  <si>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</si>
  <si>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</si>
  <si>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</si>
  <si>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</si>
  <si>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</si>
  <si>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</si>
  <si>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</si>
  <si>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</si>
  <si>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</si>
  <si>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</si>
  <si>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</si>
  <si>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</si>
  <si>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</si>
  <si>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</si>
  <si>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</si>
  <si>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</si>
  <si>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</si>
  <si>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</si>
  <si>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</si>
  <si>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</si>
  <si>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>I. INTANGIBLE ASSETS (004 do 009)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</si>
  <si>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</si>
  <si>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</si>
  <si>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</si>
  <si>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</si>
  <si>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</si>
  <si>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>II. PROPERTY, PLANT AND EQUIPMENT (011 do 019)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</si>
  <si>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</si>
  <si>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</si>
  <si>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</si>
  <si>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</si>
  <si>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</si>
  <si>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</si>
  <si>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</si>
  <si>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</si>
  <si>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</si>
  <si>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>III. NON-CURRENT FINANCIAL ASSETS (021 do 028)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</si>
  <si>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</si>
  <si>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</si>
  <si>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</si>
  <si>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</si>
  <si>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</si>
  <si>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</si>
  <si>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</si>
  <si>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</si>
  <si>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>IV. RECEIVABLES (030 do 032)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</si>
  <si>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</si>
  <si>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</si>
  <si>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</si>
  <si>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</si>
  <si>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</si>
  <si>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>I. INVENTORIES (036 do 042)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</si>
  <si>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</si>
  <si>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</si>
  <si>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</si>
  <si>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</si>
  <si>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</si>
  <si>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</si>
  <si>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</si>
  <si>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>II. RECEIVABLES (044 do 049)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</si>
  <si>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</si>
  <si>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</si>
  <si>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</si>
  <si>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</si>
  <si>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</si>
  <si>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</si>
  <si>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>III. CURRENT FINANCIAL ASSETS (051 do 057)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</si>
  <si>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</si>
  <si>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</si>
  <si>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</si>
  <si>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</si>
  <si>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</si>
  <si>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</si>
  <si>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</si>
  <si>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</si>
  <si>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</si>
  <si>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</si>
  <si>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</si>
  <si>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</si>
  <si>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</si>
  <si>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</si>
  <si>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</si>
  <si>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</si>
  <si>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</si>
  <si>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</si>
  <si>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</si>
  <si>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</si>
  <si>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</si>
  <si>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</si>
  <si>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>B) PROVISIONS (080 do 082)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</si>
  <si>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</si>
  <si>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</si>
  <si>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</si>
  <si>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>C)  NON-CURRENT LIABILITIES (084 do 092)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</si>
  <si>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</si>
  <si>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</si>
  <si>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</si>
  <si>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</si>
  <si>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</si>
  <si>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</si>
  <si>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</si>
  <si>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</si>
  <si>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</si>
  <si>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>D)  CURRENT LIABILITIES (094 do 105)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</si>
  <si>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</si>
  <si>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</si>
  <si>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</si>
  <si>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</si>
  <si>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</si>
  <si>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</si>
  <si>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</si>
  <si>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</si>
  <si>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</si>
  <si>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</si>
  <si>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</si>
  <si>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</si>
  <si>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</si>
  <si>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I. OPERATING INCOME (112 do 113)</t>
  </si>
  <si>
    <t>II. OPERATING COSTS (115+116+120+124+125+126+129+130)</t>
  </si>
  <si>
    <t xml:space="preserve">   1. Change in inventories of work in progress</t>
  </si>
  <si>
    <t xml:space="preserve">   2. Material expenses (117 do 119)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</si>
  <si>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</si>
  <si>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</si>
  <si>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</si>
  <si>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3. Employee benefits expenses (121 do 123)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</si>
  <si>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</si>
  <si>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</si>
  <si>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</si>
  <si>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</si>
  <si>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</si>
  <si>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</si>
  <si>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</si>
  <si>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</si>
  <si>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</si>
  <si>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</si>
  <si>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>III. FINANCIAL INCOME (132 do 136)</t>
  </si>
  <si>
    <t xml:space="preserve">     1. Interest, foreign exchange differences, dividens and similar income from related parties</t>
  </si>
  <si>
    <t xml:space="preserve">     2. Interest, foreign exchange differences, dividens and similar income from third parties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</si>
  <si>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</si>
  <si>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</si>
  <si>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</si>
  <si>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>IV. FINANCIAL EXPENSES (138 do 141)</t>
  </si>
  <si>
    <t xml:space="preserve">    1. Interest, foreign exchange differences, dividens and similar income from related parties</t>
  </si>
  <si>
    <t xml:space="preserve">    2. Interest, foreign exchange differences, dividens and similar income from third parties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</si>
  <si>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</si>
  <si>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</si>
  <si>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</si>
  <si>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</si>
  <si>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</si>
  <si>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</si>
  <si>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IX.  TOTAL INCOME (111+131+144)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</si>
  <si>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</si>
  <si>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</si>
  <si>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</si>
  <si>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</si>
  <si>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</si>
  <si>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</si>
  <si>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</si>
  <si>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</si>
  <si>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</si>
  <si>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</si>
  <si>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</si>
  <si>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</si>
  <si>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</si>
  <si>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</si>
  <si>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II. OTHER COMPREHENSIVE INCOME/LOSS BEFORE TAXES (159 TO 165)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</si>
  <si>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</si>
  <si>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</si>
  <si>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</si>
  <si>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</si>
  <si>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</si>
  <si>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</si>
  <si>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</si>
  <si>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</si>
  <si>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IV. NET OTHER COMPREHENSIVE INCOME FOR THE PERIOD (158 TO 166)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</si>
  <si>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</si>
  <si>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</si>
  <si>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</si>
  <si>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</si>
  <si>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</si>
  <si>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</si>
  <si>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</si>
  <si>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</si>
  <si>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</si>
  <si>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</si>
  <si>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</si>
  <si>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</si>
  <si>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</si>
  <si>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</si>
  <si>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</si>
  <si>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</si>
  <si>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</si>
  <si>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</si>
  <si>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</si>
  <si>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</si>
  <si>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</si>
  <si>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</si>
  <si>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</si>
  <si>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</si>
  <si>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</si>
  <si>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</si>
  <si>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</si>
  <si>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</si>
  <si>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</si>
  <si>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</si>
  <si>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</si>
  <si>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</si>
  <si>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</si>
  <si>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</si>
  <si>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</si>
  <si>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</si>
  <si>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</si>
  <si>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</si>
  <si>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</si>
  <si>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</si>
  <si>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</si>
  <si>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</si>
  <si>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</si>
  <si>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</si>
  <si>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</si>
  <si>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</si>
  <si>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</si>
  <si>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</si>
  <si>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</si>
  <si>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</si>
  <si>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</si>
  <si>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</si>
  <si>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</si>
  <si>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</si>
  <si>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</si>
  <si>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</si>
  <si>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</si>
  <si>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</si>
  <si>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</si>
  <si>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</si>
  <si>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</si>
  <si>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</si>
  <si>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</si>
  <si>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</si>
  <si>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</si>
  <si>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</si>
  <si>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</si>
  <si>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</si>
  <si>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</si>
  <si>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</si>
  <si>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</si>
  <si>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</si>
  <si>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</si>
  <si>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</si>
  <si>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</si>
  <si>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</si>
  <si>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</si>
  <si>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</si>
  <si>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</si>
  <si>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</si>
  <si>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</si>
  <si>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</si>
  <si>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</si>
  <si>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</si>
  <si>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</si>
  <si>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</si>
  <si>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</si>
  <si>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</si>
  <si>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</si>
  <si>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</si>
  <si>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</si>
  <si>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</si>
  <si>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</si>
  <si>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</si>
  <si>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</si>
  <si>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</si>
  <si>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</si>
  <si>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</si>
  <si>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</si>
  <si>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</si>
  <si>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</si>
  <si>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3. Declaration of the persons responsible for preparing the issuer's statements;</t>
  </si>
  <si>
    <t>Željko Kukurin, Čižmek Marko</t>
  </si>
  <si>
    <t>as of 30.06.2015.</t>
  </si>
  <si>
    <t>period 1.1.2015. to 30.06.2015.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</si>
</sst>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88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3" applyFont="1" applyAlignment="1"/>
    <xf numFmtId="0" fontId="9" fillId="0" borderId="6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Border="1" applyAlignment="1" applyProtection="1"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Fill="1" applyBorder="1" applyAlignment="1" applyProtection="1">
      <protection hidden="1"/>
    </xf>
    <xf numFmtId="0" fontId="9" fillId="0" borderId="0" xfId="3" applyFont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top"/>
      <protection hidden="1"/>
    </xf>
    <xf numFmtId="0" fontId="9" fillId="0" borderId="0" xfId="3" applyFont="1" applyBorder="1" applyAlignment="1"/>
    <xf numFmtId="0" fontId="9" fillId="0" borderId="0" xfId="3" applyFont="1" applyBorder="1" applyAlignment="1" applyProtection="1">
      <alignment horizontal="left" vertical="top"/>
      <protection hidden="1"/>
    </xf>
    <xf numFmtId="0" fontId="9" fillId="0" borderId="7" xfId="3" applyFont="1" applyBorder="1" applyAlignment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9" fillId="0" borderId="8" xfId="3" applyFont="1" applyBorder="1" applyAlignment="1" applyProtection="1">
      <protection hidden="1"/>
    </xf>
    <xf numFmtId="0" fontId="9" fillId="0" borderId="8" xfId="3" applyFont="1" applyBorder="1" applyAlignment="1"/>
    <xf numFmtId="0" fontId="19" fillId="0" borderId="0" xfId="5" applyFont="1" applyFill="1" applyBorder="1" applyAlignment="1">
      <alignment horizontal="center" vertical="center" wrapText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5" applyFont="1" applyFill="1" applyAlignment="1">
      <alignment wrapText="1"/>
    </xf>
    <xf numFmtId="0" fontId="3" fillId="0" borderId="0" xfId="0" applyFont="1" applyFill="1"/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3" applyFont="1" applyBorder="1" applyAlignment="1"/>
    <xf numFmtId="0" fontId="9" fillId="0" borderId="12" xfId="3" applyFont="1" applyBorder="1" applyAlignment="1"/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right"/>
      <protection hidden="1"/>
    </xf>
    <xf numFmtId="0" fontId="9" fillId="0" borderId="13" xfId="3" applyFont="1" applyFill="1" applyBorder="1" applyAlignment="1" applyProtection="1">
      <protection hidden="1"/>
    </xf>
    <xf numFmtId="0" fontId="9" fillId="0" borderId="13" xfId="3" applyFont="1" applyBorder="1" applyAlignment="1" applyProtection="1">
      <alignment wrapText="1"/>
      <protection hidden="1"/>
    </xf>
    <xf numFmtId="0" fontId="9" fillId="0" borderId="13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9" fillId="0" borderId="13" xfId="3" applyFont="1" applyBorder="1" applyAlignment="1" applyProtection="1">
      <alignment horizontal="left" vertical="top" wrapText="1"/>
      <protection hidden="1"/>
    </xf>
    <xf numFmtId="0" fontId="9" fillId="0" borderId="13" xfId="3" applyFont="1" applyBorder="1" applyAlignment="1" applyProtection="1">
      <alignment horizontal="left" vertical="top" indent="2"/>
      <protection hidden="1"/>
    </xf>
    <xf numFmtId="0" fontId="9" fillId="0" borderId="13" xfId="3" applyFont="1" applyBorder="1" applyAlignment="1" applyProtection="1">
      <alignment horizontal="left" vertical="top" wrapText="1" indent="2"/>
      <protection hidden="1"/>
    </xf>
    <xf numFmtId="49" fontId="6" fillId="0" borderId="13" xfId="3" applyNumberFormat="1" applyFont="1" applyBorder="1" applyAlignment="1" applyProtection="1">
      <alignment horizontal="center" vertical="center"/>
      <protection locked="0" hidden="1"/>
    </xf>
    <xf numFmtId="0" fontId="9" fillId="0" borderId="13" xfId="3" applyFont="1" applyBorder="1" applyAlignment="1" applyProtection="1">
      <alignment horizontal="left"/>
      <protection hidden="1"/>
    </xf>
    <xf numFmtId="0" fontId="9" fillId="0" borderId="12" xfId="3" applyFont="1" applyBorder="1" applyAlignment="1" applyProtection="1">
      <protection hidden="1"/>
    </xf>
    <xf numFmtId="0" fontId="9" fillId="0" borderId="13" xfId="3" applyFont="1" applyFill="1" applyBorder="1" applyAlignment="1" applyProtection="1">
      <alignment vertical="center"/>
      <protection hidden="1"/>
    </xf>
    <xf numFmtId="0" fontId="9" fillId="0" borderId="14" xfId="3" applyFont="1" applyBorder="1" applyAlignment="1" applyProtection="1">
      <protection hidden="1"/>
    </xf>
    <xf numFmtId="0" fontId="9" fillId="0" borderId="15" xfId="3" applyFont="1" applyFill="1" applyBorder="1" applyAlignment="1" applyProtection="1">
      <protection hidden="1"/>
    </xf>
    <xf numFmtId="0" fontId="9" fillId="0" borderId="16" xfId="3" applyFont="1" applyFill="1" applyBorder="1" applyAlignment="1" applyProtection="1">
      <protection hidden="1"/>
    </xf>
    <xf numFmtId="14" fontId="6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Fill="1" applyBorder="1" applyAlignment="1"/>
    <xf numFmtId="49" fontId="6" fillId="0" borderId="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3" fillId="0" borderId="0" xfId="0" applyNumberFormat="1" applyFont="1" applyFill="1"/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14" applyFont="1" applyFill="1" applyBorder="1" applyProtection="1"/>
    <xf numFmtId="3" fontId="25" fillId="0" borderId="0" xfId="14" applyNumberFormat="1" applyFont="1" applyFill="1" applyBorder="1" applyProtection="1"/>
    <xf numFmtId="0" fontId="25" fillId="0" borderId="0" xfId="17" applyFont="1" applyFill="1" applyBorder="1"/>
    <xf numFmtId="3" fontId="26" fillId="0" borderId="0" xfId="17" applyNumberFormat="1" applyFont="1" applyFill="1" applyBorder="1"/>
    <xf numFmtId="37" fontId="25" fillId="0" borderId="0" xfId="17" applyNumberFormat="1" applyFont="1" applyFill="1" applyBorder="1" applyProtection="1"/>
    <xf numFmtId="3" fontId="25" fillId="0" borderId="0" xfId="17" applyNumberFormat="1" applyFont="1" applyFill="1" applyBorder="1" applyProtection="1"/>
    <xf numFmtId="3" fontId="26" fillId="0" borderId="0" xfId="14" applyNumberFormat="1" applyFont="1" applyFill="1" applyBorder="1" applyProtection="1"/>
    <xf numFmtId="0" fontId="0" fillId="0" borderId="0" xfId="0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7" fontId="26" fillId="0" borderId="0" xfId="14" applyNumberFormat="1" applyFont="1" applyFill="1" applyBorder="1" applyProtection="1"/>
    <xf numFmtId="3" fontId="0" fillId="0" borderId="0" xfId="0" applyNumberFormat="1" applyFill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6" xfId="3" applyFont="1" applyFill="1" applyBorder="1" applyAlignment="1" applyProtection="1">
      <alignment vertical="center"/>
      <protection hidden="1"/>
    </xf>
    <xf numFmtId="0" fontId="9" fillId="0" borderId="6" xfId="3" applyFont="1" applyBorder="1" applyAlignment="1" applyProtection="1"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wrapText="1"/>
      <protection hidden="1"/>
    </xf>
    <xf numFmtId="0" fontId="9" fillId="0" borderId="0" xfId="3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/>
    <xf numFmtId="0" fontId="9" fillId="0" borderId="6" xfId="3" applyFont="1" applyBorder="1" applyAlignment="1"/>
    <xf numFmtId="0" fontId="7" fillId="0" borderId="6" xfId="0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top"/>
      <protection hidden="1"/>
    </xf>
    <xf numFmtId="0" fontId="6" fillId="0" borderId="6" xfId="3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left" vertical="top"/>
      <protection hidden="1"/>
    </xf>
    <xf numFmtId="0" fontId="9" fillId="0" borderId="6" xfId="3" applyFont="1" applyBorder="1" applyAlignment="1" applyProtection="1">
      <alignment horizontal="left"/>
      <protection hidden="1"/>
    </xf>
    <xf numFmtId="0" fontId="6" fillId="0" borderId="6" xfId="3" applyFont="1" applyBorder="1" applyAlignment="1" applyProtection="1">
      <alignment vertical="center"/>
      <protection hidden="1"/>
    </xf>
    <xf numFmtId="0" fontId="9" fillId="0" borderId="6" xfId="3" applyFont="1" applyFill="1" applyBorder="1" applyAlignment="1" applyProtection="1">
      <alignment horizontal="right" vertical="top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7" fillId="0" borderId="0" xfId="5" applyFont="1" applyBorder="1" applyAlignment="1" applyProtection="1">
      <alignment vertical="center"/>
      <protection hidden="1"/>
    </xf>
    <xf numFmtId="0" fontId="17" fillId="0" borderId="13" xfId="5" applyFont="1" applyFill="1" applyBorder="1" applyAlignment="1" applyProtection="1">
      <alignment vertical="center"/>
      <protection hidden="1"/>
    </xf>
    <xf numFmtId="3" fontId="6" fillId="0" borderId="10" xfId="1" applyNumberFormat="1" applyFont="1" applyFill="1" applyBorder="1" applyAlignment="1" applyProtection="1">
      <alignment horizontal="right"/>
      <protection locked="0" hidden="1"/>
    </xf>
    <xf numFmtId="0" fontId="0" fillId="0" borderId="13" xfId="0" applyFill="1" applyBorder="1"/>
    <xf numFmtId="0" fontId="14" fillId="0" borderId="25" xfId="3" applyFont="1" applyBorder="1" applyAlignment="1"/>
    <xf numFmtId="0" fontId="14" fillId="0" borderId="7" xfId="3" applyFont="1" applyBorder="1" applyAlignment="1"/>
    <xf numFmtId="0" fontId="7" fillId="0" borderId="0" xfId="3" applyFont="1" applyFill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0" fontId="6" fillId="0" borderId="24" xfId="3" applyFont="1" applyFill="1" applyBorder="1" applyAlignment="1" applyProtection="1">
      <alignment horizontal="left" vertical="center"/>
      <protection locked="0" hidden="1"/>
    </xf>
    <xf numFmtId="0" fontId="6" fillId="0" borderId="15" xfId="3" applyFont="1" applyFill="1" applyBorder="1" applyAlignment="1" applyProtection="1">
      <alignment horizontal="left" vertical="center"/>
      <protection locked="0" hidden="1"/>
    </xf>
    <xf numFmtId="0" fontId="6" fillId="0" borderId="16" xfId="3" applyFont="1" applyFill="1" applyBorder="1" applyAlignment="1" applyProtection="1">
      <alignment horizontal="left" vertical="center"/>
      <protection locked="0" hidden="1"/>
    </xf>
    <xf numFmtId="49" fontId="6" fillId="0" borderId="24" xfId="3" applyNumberFormat="1" applyFont="1" applyFill="1" applyBorder="1" applyAlignment="1" applyProtection="1">
      <alignment horizontal="left" vertical="center"/>
      <protection locked="0" hidden="1"/>
    </xf>
    <xf numFmtId="49" fontId="6" fillId="0" borderId="15" xfId="3" applyNumberFormat="1" applyFont="1" applyFill="1" applyBorder="1" applyAlignment="1" applyProtection="1">
      <alignment horizontal="left" vertical="center"/>
      <protection locked="0" hidden="1"/>
    </xf>
    <xf numFmtId="49" fontId="6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9" fillId="0" borderId="7" xfId="3" applyFont="1" applyBorder="1" applyAlignment="1" applyProtection="1">
      <alignment horizontal="center"/>
      <protection hidden="1"/>
    </xf>
    <xf numFmtId="49" fontId="6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/>
    <xf numFmtId="0" fontId="9" fillId="0" borderId="15" xfId="3" applyFont="1" applyFill="1" applyBorder="1" applyAlignment="1" applyProtection="1">
      <alignment horizontal="center" vertical="top"/>
      <protection hidden="1"/>
    </xf>
    <xf numFmtId="0" fontId="9" fillId="0" borderId="15" xfId="3" applyFont="1" applyFill="1" applyBorder="1" applyAlignment="1" applyProtection="1">
      <alignment horizontal="center"/>
      <protection hidden="1"/>
    </xf>
    <xf numFmtId="49" fontId="31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1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1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28" fillId="0" borderId="16" xfId="3" applyFont="1" applyFill="1" applyBorder="1" applyAlignment="1">
      <alignment horizontal="left" vertical="center"/>
    </xf>
    <xf numFmtId="0" fontId="29" fillId="0" borderId="0" xfId="5" applyFont="1" applyBorder="1" applyAlignment="1" applyProtection="1">
      <alignment horizontal="left"/>
      <protection hidden="1"/>
    </xf>
    <xf numFmtId="0" fontId="30" fillId="0" borderId="0" xfId="5" applyFont="1" applyBorder="1" applyAlignment="1"/>
    <xf numFmtId="0" fontId="17" fillId="0" borderId="0" xfId="5" applyFont="1" applyBorder="1" applyAlignment="1" applyProtection="1">
      <alignment horizontal="left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6" fillId="0" borderId="2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24" xfId="2" applyFont="1" applyFill="1" applyBorder="1" applyAlignment="1" applyProtection="1">
      <protection locked="0" hidden="1"/>
    </xf>
    <xf numFmtId="0" fontId="11" fillId="0" borderId="15" xfId="0" applyFont="1" applyFill="1" applyBorder="1" applyAlignment="1" applyProtection="1">
      <protection locked="0" hidden="1"/>
    </xf>
    <xf numFmtId="0" fontId="11" fillId="0" borderId="16" xfId="0" applyFont="1" applyFill="1" applyBorder="1" applyAlignment="1" applyProtection="1">
      <protection locked="0" hidden="1"/>
    </xf>
    <xf numFmtId="0" fontId="8" fillId="0" borderId="24" xfId="2" applyFill="1" applyBorder="1" applyAlignment="1" applyProtection="1">
      <protection locked="0" hidden="1"/>
    </xf>
    <xf numFmtId="0" fontId="6" fillId="0" borderId="15" xfId="0" applyFont="1" applyFill="1" applyBorder="1" applyAlignment="1" applyProtection="1">
      <protection locked="0" hidden="1"/>
    </xf>
    <xf numFmtId="0" fontId="6" fillId="0" borderId="16" xfId="0" applyFont="1" applyFill="1" applyBorder="1" applyAlignment="1" applyProtection="1">
      <protection locked="0" hidden="1"/>
    </xf>
    <xf numFmtId="0" fontId="6" fillId="0" borderId="6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0" fontId="6" fillId="0" borderId="13" xfId="3" applyFont="1" applyFill="1" applyBorder="1" applyAlignment="1" applyProtection="1">
      <alignment horizontal="left" vertical="center" wrapText="1"/>
      <protection hidden="1"/>
    </xf>
    <xf numFmtId="0" fontId="15" fillId="0" borderId="6" xfId="3" applyFont="1" applyBorder="1" applyAlignment="1" applyProtection="1">
      <alignment horizontal="center" vertical="center" wrapText="1"/>
      <protection hidden="1"/>
    </xf>
    <xf numFmtId="0" fontId="15" fillId="0" borderId="0" xfId="3" applyFont="1" applyBorder="1" applyAlignment="1" applyProtection="1">
      <alignment horizontal="center" vertical="center" wrapText="1"/>
      <protection hidden="1"/>
    </xf>
    <xf numFmtId="0" fontId="15" fillId="0" borderId="13" xfId="3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</cellXfs>
  <cellStyles count="21">
    <cellStyle name="Comma" xfId="1" builtinId="3"/>
    <cellStyle name="Comma 2" xfId="8"/>
    <cellStyle name="Comma 5 2" xfId="15"/>
    <cellStyle name="Hyperlink" xfId="2" builtinId="8"/>
    <cellStyle name="Hyperlink 2" xfId="16"/>
    <cellStyle name="Normal" xfId="0" builtinId="0"/>
    <cellStyle name="Normal 15 2" xfId="17"/>
    <cellStyle name="Normal 2" xfId="9"/>
    <cellStyle name="Normal 27" xfId="10"/>
    <cellStyle name="Normal 3" xfId="6"/>
    <cellStyle name="Normal 4" xfId="14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tabSelected="1" view="pageBreakPreview" zoomScale="110" zoomScaleNormal="100" zoomScaleSheetLayoutView="100" workbookViewId="0">
      <selection activeCell="I25" sqref="I25"/>
    </sheetView>
  </sheetViews>
  <sheetFormatPr defaultColWidth="9.140625" defaultRowHeight="12.75"/>
  <cols>
    <col min="1" max="1" width="9.140625" style="120"/>
    <col min="2" max="2" width="15.85546875" style="120" customWidth="1"/>
    <col min="3" max="6" width="9.140625" style="10"/>
    <col min="7" max="7" width="15.140625" style="10" customWidth="1"/>
    <col min="8" max="8" width="17.7109375" style="10" customWidth="1"/>
    <col min="9" max="9" width="14.42578125" style="10" customWidth="1"/>
    <col min="10" max="16384" width="9.140625" style="10"/>
  </cols>
  <sheetData>
    <row r="1" spans="1:12" ht="15.75">
      <c r="A1" s="185" t="s">
        <v>21</v>
      </c>
      <c r="B1" s="186"/>
      <c r="C1" s="186"/>
      <c r="D1" s="59"/>
      <c r="E1" s="59"/>
      <c r="F1" s="59"/>
      <c r="G1" s="59"/>
      <c r="H1" s="59"/>
      <c r="I1" s="60"/>
      <c r="J1" s="9"/>
      <c r="K1" s="9"/>
      <c r="L1" s="9"/>
    </row>
    <row r="2" spans="1:12">
      <c r="A2" s="248" t="s">
        <v>22</v>
      </c>
      <c r="B2" s="249"/>
      <c r="C2" s="249"/>
      <c r="D2" s="250"/>
      <c r="E2" s="78">
        <v>42005</v>
      </c>
      <c r="F2" s="11"/>
      <c r="G2" s="12" t="s">
        <v>32</v>
      </c>
      <c r="H2" s="78">
        <v>42185</v>
      </c>
      <c r="I2" s="61"/>
      <c r="J2" s="9"/>
      <c r="K2" s="9"/>
      <c r="L2" s="9"/>
    </row>
    <row r="3" spans="1:12">
      <c r="A3" s="161"/>
      <c r="B3" s="153"/>
      <c r="C3" s="153"/>
      <c r="D3" s="153"/>
      <c r="E3" s="13"/>
      <c r="F3" s="13"/>
      <c r="G3" s="153"/>
      <c r="H3" s="153"/>
      <c r="I3" s="62"/>
      <c r="J3" s="9"/>
      <c r="K3" s="9"/>
      <c r="L3" s="9"/>
    </row>
    <row r="4" spans="1:12" ht="15">
      <c r="A4" s="251" t="s">
        <v>272</v>
      </c>
      <c r="B4" s="252"/>
      <c r="C4" s="252"/>
      <c r="D4" s="252"/>
      <c r="E4" s="252"/>
      <c r="F4" s="252"/>
      <c r="G4" s="252"/>
      <c r="H4" s="252"/>
      <c r="I4" s="253"/>
      <c r="J4" s="9"/>
      <c r="K4" s="9"/>
      <c r="L4" s="9"/>
    </row>
    <row r="5" spans="1:12">
      <c r="A5" s="162"/>
      <c r="B5" s="14"/>
      <c r="C5" s="14"/>
      <c r="D5" s="14"/>
      <c r="E5" s="15"/>
      <c r="F5" s="63"/>
      <c r="G5" s="16"/>
      <c r="H5" s="17"/>
      <c r="I5" s="64"/>
      <c r="J5" s="9"/>
      <c r="K5" s="9"/>
      <c r="L5" s="9"/>
    </row>
    <row r="6" spans="1:12">
      <c r="A6" s="213" t="s">
        <v>6</v>
      </c>
      <c r="B6" s="214"/>
      <c r="C6" s="234" t="s">
        <v>276</v>
      </c>
      <c r="D6" s="235"/>
      <c r="E6" s="159"/>
      <c r="F6" s="159"/>
      <c r="G6" s="159"/>
      <c r="H6" s="159"/>
      <c r="I6" s="65"/>
      <c r="J6" s="9"/>
      <c r="K6" s="9"/>
      <c r="L6" s="9"/>
    </row>
    <row r="7" spans="1:12">
      <c r="A7" s="163"/>
      <c r="B7" s="20"/>
      <c r="C7" s="81"/>
      <c r="D7" s="81"/>
      <c r="E7" s="159"/>
      <c r="F7" s="159"/>
      <c r="G7" s="159"/>
      <c r="H7" s="159"/>
      <c r="I7" s="65"/>
      <c r="J7" s="9"/>
      <c r="K7" s="9"/>
      <c r="L7" s="9"/>
    </row>
    <row r="8" spans="1:12" ht="12.75" customHeight="1">
      <c r="A8" s="254" t="s">
        <v>7</v>
      </c>
      <c r="B8" s="255"/>
      <c r="C8" s="234" t="s">
        <v>277</v>
      </c>
      <c r="D8" s="235"/>
      <c r="E8" s="159"/>
      <c r="F8" s="159"/>
      <c r="G8" s="159"/>
      <c r="H8" s="159"/>
      <c r="I8" s="66"/>
      <c r="J8" s="9"/>
      <c r="K8" s="9"/>
      <c r="L8" s="9"/>
    </row>
    <row r="9" spans="1:12">
      <c r="A9" s="164"/>
      <c r="B9" s="165"/>
      <c r="C9" s="82"/>
      <c r="D9" s="81"/>
      <c r="E9" s="14"/>
      <c r="F9" s="14"/>
      <c r="G9" s="14"/>
      <c r="H9" s="14"/>
      <c r="I9" s="66"/>
      <c r="J9" s="9"/>
      <c r="K9" s="9"/>
      <c r="L9" s="9"/>
    </row>
    <row r="10" spans="1:12" ht="12.75" customHeight="1">
      <c r="A10" s="188" t="s">
        <v>8</v>
      </c>
      <c r="B10" s="232"/>
      <c r="C10" s="234" t="s">
        <v>278</v>
      </c>
      <c r="D10" s="235"/>
      <c r="E10" s="14"/>
      <c r="F10" s="14"/>
      <c r="G10" s="14"/>
      <c r="H10" s="14"/>
      <c r="I10" s="66"/>
      <c r="J10" s="9"/>
      <c r="K10" s="9"/>
      <c r="L10" s="9"/>
    </row>
    <row r="11" spans="1:12">
      <c r="A11" s="233"/>
      <c r="B11" s="232"/>
      <c r="C11" s="14"/>
      <c r="D11" s="14"/>
      <c r="E11" s="14"/>
      <c r="F11" s="14"/>
      <c r="G11" s="14"/>
      <c r="H11" s="14"/>
      <c r="I11" s="66"/>
      <c r="J11" s="9"/>
      <c r="K11" s="9"/>
      <c r="L11" s="9"/>
    </row>
    <row r="12" spans="1:12">
      <c r="A12" s="213" t="s">
        <v>9</v>
      </c>
      <c r="B12" s="214"/>
      <c r="C12" s="223" t="s">
        <v>279</v>
      </c>
      <c r="D12" s="237"/>
      <c r="E12" s="237"/>
      <c r="F12" s="237"/>
      <c r="G12" s="237"/>
      <c r="H12" s="237"/>
      <c r="I12" s="238"/>
      <c r="J12" s="9"/>
      <c r="K12" s="9"/>
      <c r="L12" s="9"/>
    </row>
    <row r="13" spans="1:12">
      <c r="A13" s="163"/>
      <c r="B13" s="20"/>
      <c r="C13" s="83"/>
      <c r="D13" s="81"/>
      <c r="E13" s="81"/>
      <c r="F13" s="81"/>
      <c r="G13" s="81"/>
      <c r="H13" s="81"/>
      <c r="I13" s="176"/>
      <c r="J13" s="9"/>
      <c r="K13" s="9"/>
      <c r="L13" s="9"/>
    </row>
    <row r="14" spans="1:12">
      <c r="A14" s="213" t="s">
        <v>10</v>
      </c>
      <c r="B14" s="239"/>
      <c r="C14" s="240">
        <v>52440</v>
      </c>
      <c r="D14" s="241"/>
      <c r="E14" s="81"/>
      <c r="F14" s="223" t="s">
        <v>280</v>
      </c>
      <c r="G14" s="237"/>
      <c r="H14" s="237"/>
      <c r="I14" s="238"/>
      <c r="J14" s="9"/>
      <c r="K14" s="9"/>
      <c r="L14" s="9"/>
    </row>
    <row r="15" spans="1:12">
      <c r="A15" s="163"/>
      <c r="B15" s="20"/>
      <c r="C15" s="81"/>
      <c r="D15" s="81"/>
      <c r="E15" s="81"/>
      <c r="F15" s="81"/>
      <c r="G15" s="81"/>
      <c r="H15" s="81"/>
      <c r="I15" s="176"/>
      <c r="J15" s="9"/>
      <c r="K15" s="9"/>
      <c r="L15" s="9"/>
    </row>
    <row r="16" spans="1:12">
      <c r="A16" s="213" t="s">
        <v>11</v>
      </c>
      <c r="B16" s="214"/>
      <c r="C16" s="223" t="s">
        <v>281</v>
      </c>
      <c r="D16" s="237"/>
      <c r="E16" s="237"/>
      <c r="F16" s="237"/>
      <c r="G16" s="237"/>
      <c r="H16" s="237"/>
      <c r="I16" s="238"/>
      <c r="J16" s="9"/>
      <c r="K16" s="9"/>
      <c r="L16" s="9"/>
    </row>
    <row r="17" spans="1:12">
      <c r="A17" s="163"/>
      <c r="B17" s="20"/>
      <c r="C17" s="81"/>
      <c r="D17" s="81"/>
      <c r="E17" s="81"/>
      <c r="F17" s="81"/>
      <c r="G17" s="81"/>
      <c r="H17" s="81"/>
      <c r="I17" s="176"/>
      <c r="J17" s="9"/>
      <c r="K17" s="9"/>
      <c r="L17" s="9"/>
    </row>
    <row r="18" spans="1:12">
      <c r="A18" s="213" t="s">
        <v>12</v>
      </c>
      <c r="B18" s="214"/>
      <c r="C18" s="242" t="s">
        <v>282</v>
      </c>
      <c r="D18" s="243"/>
      <c r="E18" s="243"/>
      <c r="F18" s="243"/>
      <c r="G18" s="243"/>
      <c r="H18" s="243"/>
      <c r="I18" s="244"/>
      <c r="J18" s="9"/>
      <c r="K18" s="9"/>
      <c r="L18" s="9"/>
    </row>
    <row r="19" spans="1:12">
      <c r="A19" s="163"/>
      <c r="B19" s="20"/>
      <c r="C19" s="83"/>
      <c r="D19" s="81"/>
      <c r="E19" s="81"/>
      <c r="F19" s="81"/>
      <c r="G19" s="81"/>
      <c r="H19" s="81"/>
      <c r="I19" s="176"/>
      <c r="J19" s="9"/>
      <c r="K19" s="9"/>
      <c r="L19" s="9"/>
    </row>
    <row r="20" spans="1:12">
      <c r="A20" s="213" t="s">
        <v>13</v>
      </c>
      <c r="B20" s="214"/>
      <c r="C20" s="245" t="s">
        <v>291</v>
      </c>
      <c r="D20" s="246"/>
      <c r="E20" s="246"/>
      <c r="F20" s="246"/>
      <c r="G20" s="246"/>
      <c r="H20" s="246"/>
      <c r="I20" s="247"/>
      <c r="J20" s="9"/>
      <c r="K20" s="9"/>
      <c r="L20" s="9"/>
    </row>
    <row r="21" spans="1:12">
      <c r="A21" s="163"/>
      <c r="B21" s="20"/>
      <c r="C21" s="83"/>
      <c r="D21" s="81"/>
      <c r="E21" s="81"/>
      <c r="F21" s="81"/>
      <c r="G21" s="81"/>
      <c r="H21" s="81"/>
      <c r="I21" s="176"/>
      <c r="J21" s="9"/>
      <c r="K21" s="9"/>
      <c r="L21" s="9"/>
    </row>
    <row r="22" spans="1:12">
      <c r="A22" s="213" t="s">
        <v>14</v>
      </c>
      <c r="B22" s="214"/>
      <c r="C22" s="144">
        <v>348</v>
      </c>
      <c r="D22" s="223" t="s">
        <v>280</v>
      </c>
      <c r="E22" s="224"/>
      <c r="F22" s="225"/>
      <c r="G22" s="213"/>
      <c r="H22" s="236"/>
      <c r="I22" s="177"/>
      <c r="J22" s="9"/>
      <c r="K22" s="9"/>
      <c r="L22" s="9"/>
    </row>
    <row r="23" spans="1:12">
      <c r="A23" s="163"/>
      <c r="B23" s="20"/>
      <c r="C23" s="81"/>
      <c r="D23" s="81"/>
      <c r="E23" s="81"/>
      <c r="F23" s="81"/>
      <c r="G23" s="81"/>
      <c r="H23" s="81"/>
      <c r="I23" s="176"/>
      <c r="J23" s="9"/>
      <c r="K23" s="9"/>
      <c r="L23" s="9"/>
    </row>
    <row r="24" spans="1:12">
      <c r="A24" s="213" t="s">
        <v>15</v>
      </c>
      <c r="B24" s="214"/>
      <c r="C24" s="144">
        <v>18</v>
      </c>
      <c r="D24" s="223" t="s">
        <v>283</v>
      </c>
      <c r="E24" s="224"/>
      <c r="F24" s="224"/>
      <c r="G24" s="225"/>
      <c r="H24" s="166" t="s">
        <v>25</v>
      </c>
      <c r="I24" s="183">
        <v>3254</v>
      </c>
      <c r="J24" s="9"/>
      <c r="K24" s="9"/>
      <c r="L24" s="9"/>
    </row>
    <row r="25" spans="1:12">
      <c r="A25" s="163"/>
      <c r="B25" s="20"/>
      <c r="C25" s="81"/>
      <c r="D25" s="81"/>
      <c r="E25" s="81"/>
      <c r="F25" s="81"/>
      <c r="G25" s="160"/>
      <c r="H25" s="20" t="s">
        <v>26</v>
      </c>
      <c r="I25" s="178"/>
      <c r="J25" s="9"/>
      <c r="K25" s="9"/>
      <c r="L25" s="9"/>
    </row>
    <row r="26" spans="1:12">
      <c r="A26" s="213" t="s">
        <v>16</v>
      </c>
      <c r="B26" s="214"/>
      <c r="C26" s="145" t="s">
        <v>284</v>
      </c>
      <c r="D26" s="84"/>
      <c r="E26" s="167"/>
      <c r="F26" s="81"/>
      <c r="G26" s="226" t="s">
        <v>27</v>
      </c>
      <c r="H26" s="214"/>
      <c r="I26" s="123" t="s">
        <v>285</v>
      </c>
      <c r="J26" s="9"/>
      <c r="K26" s="9"/>
      <c r="L26" s="9"/>
    </row>
    <row r="27" spans="1:12">
      <c r="A27" s="163"/>
      <c r="B27" s="20"/>
      <c r="C27" s="14"/>
      <c r="D27" s="67"/>
      <c r="E27" s="67"/>
      <c r="F27" s="67"/>
      <c r="G27" s="67"/>
      <c r="H27" s="14"/>
      <c r="I27" s="68"/>
      <c r="J27" s="9"/>
      <c r="K27" s="9"/>
      <c r="L27" s="9"/>
    </row>
    <row r="28" spans="1:12">
      <c r="A28" s="230" t="s">
        <v>23</v>
      </c>
      <c r="B28" s="231"/>
      <c r="C28" s="231"/>
      <c r="D28" s="231"/>
      <c r="E28" s="231"/>
      <c r="F28" s="229" t="s">
        <v>24</v>
      </c>
      <c r="G28" s="229"/>
      <c r="H28" s="227" t="s">
        <v>1</v>
      </c>
      <c r="I28" s="228"/>
      <c r="J28" s="9"/>
      <c r="K28" s="9"/>
      <c r="L28" s="9"/>
    </row>
    <row r="29" spans="1:12">
      <c r="A29" s="168"/>
      <c r="B29" s="25"/>
      <c r="C29" s="25"/>
      <c r="D29" s="22"/>
      <c r="E29" s="14"/>
      <c r="F29" s="14"/>
      <c r="G29" s="14"/>
      <c r="H29" s="23"/>
      <c r="I29" s="68"/>
      <c r="J29" s="9"/>
      <c r="K29" s="9"/>
      <c r="L29" s="9"/>
    </row>
    <row r="30" spans="1:12">
      <c r="A30" s="190"/>
      <c r="B30" s="196"/>
      <c r="C30" s="196"/>
      <c r="D30" s="197"/>
      <c r="E30" s="190"/>
      <c r="F30" s="196"/>
      <c r="G30" s="197"/>
      <c r="H30" s="203"/>
      <c r="I30" s="204"/>
      <c r="J30" s="9"/>
      <c r="K30" s="9"/>
      <c r="L30" s="9"/>
    </row>
    <row r="31" spans="1:12">
      <c r="A31" s="169"/>
      <c r="B31" s="160"/>
      <c r="C31" s="19"/>
      <c r="D31" s="221"/>
      <c r="E31" s="221"/>
      <c r="F31" s="221"/>
      <c r="G31" s="222"/>
      <c r="H31" s="14"/>
      <c r="I31" s="69"/>
      <c r="J31" s="9"/>
      <c r="K31" s="9"/>
      <c r="L31" s="9"/>
    </row>
    <row r="32" spans="1:12">
      <c r="A32" s="190"/>
      <c r="B32" s="196"/>
      <c r="C32" s="196"/>
      <c r="D32" s="197"/>
      <c r="E32" s="190"/>
      <c r="F32" s="196"/>
      <c r="G32" s="197"/>
      <c r="H32" s="203"/>
      <c r="I32" s="204"/>
      <c r="J32" s="9"/>
      <c r="K32" s="9"/>
      <c r="L32" s="9"/>
    </row>
    <row r="33" spans="1:12">
      <c r="A33" s="169"/>
      <c r="B33" s="160"/>
      <c r="C33" s="19"/>
      <c r="D33" s="158"/>
      <c r="E33" s="158"/>
      <c r="F33" s="158"/>
      <c r="G33" s="159"/>
      <c r="H33" s="14"/>
      <c r="I33" s="70"/>
      <c r="J33" s="9"/>
      <c r="K33" s="9"/>
      <c r="L33" s="9"/>
    </row>
    <row r="34" spans="1:12">
      <c r="A34" s="190"/>
      <c r="B34" s="196"/>
      <c r="C34" s="196"/>
      <c r="D34" s="197"/>
      <c r="E34" s="190"/>
      <c r="F34" s="196"/>
      <c r="G34" s="197"/>
      <c r="H34" s="203"/>
      <c r="I34" s="204"/>
      <c r="J34" s="9"/>
      <c r="K34" s="9"/>
      <c r="L34" s="9"/>
    </row>
    <row r="35" spans="1:12">
      <c r="A35" s="163"/>
      <c r="B35" s="20"/>
      <c r="C35" s="19"/>
      <c r="D35" s="158"/>
      <c r="E35" s="158"/>
      <c r="F35" s="158"/>
      <c r="G35" s="159"/>
      <c r="H35" s="14"/>
      <c r="I35" s="70"/>
      <c r="J35" s="9"/>
      <c r="K35" s="9"/>
      <c r="L35" s="9"/>
    </row>
    <row r="36" spans="1:12">
      <c r="A36" s="190"/>
      <c r="B36" s="196"/>
      <c r="C36" s="196"/>
      <c r="D36" s="197"/>
      <c r="E36" s="190"/>
      <c r="F36" s="196"/>
      <c r="G36" s="197"/>
      <c r="H36" s="203"/>
      <c r="I36" s="204"/>
      <c r="J36" s="9"/>
      <c r="K36" s="9"/>
      <c r="L36" s="9"/>
    </row>
    <row r="37" spans="1:12">
      <c r="A37" s="170"/>
      <c r="B37" s="24"/>
      <c r="C37" s="200"/>
      <c r="D37" s="201"/>
      <c r="E37" s="14"/>
      <c r="F37" s="200"/>
      <c r="G37" s="201"/>
      <c r="H37" s="14"/>
      <c r="I37" s="66"/>
      <c r="J37" s="9"/>
      <c r="K37" s="9"/>
      <c r="L37" s="9"/>
    </row>
    <row r="38" spans="1:12">
      <c r="A38" s="190"/>
      <c r="B38" s="196"/>
      <c r="C38" s="196"/>
      <c r="D38" s="197"/>
      <c r="E38" s="190"/>
      <c r="F38" s="196"/>
      <c r="G38" s="197"/>
      <c r="H38" s="203"/>
      <c r="I38" s="204"/>
      <c r="J38" s="9"/>
      <c r="K38" s="9"/>
      <c r="L38" s="9"/>
    </row>
    <row r="39" spans="1:12">
      <c r="A39" s="170"/>
      <c r="B39" s="24"/>
      <c r="C39" s="154"/>
      <c r="D39" s="155"/>
      <c r="E39" s="14"/>
      <c r="F39" s="154"/>
      <c r="G39" s="155"/>
      <c r="H39" s="14"/>
      <c r="I39" s="66"/>
      <c r="J39" s="9"/>
      <c r="K39" s="9"/>
      <c r="L39" s="9"/>
    </row>
    <row r="40" spans="1:12">
      <c r="A40" s="190"/>
      <c r="B40" s="196"/>
      <c r="C40" s="196"/>
      <c r="D40" s="197"/>
      <c r="E40" s="190"/>
      <c r="F40" s="196"/>
      <c r="G40" s="197"/>
      <c r="H40" s="203"/>
      <c r="I40" s="204"/>
      <c r="J40" s="9"/>
      <c r="K40" s="9"/>
      <c r="L40" s="9"/>
    </row>
    <row r="41" spans="1:12">
      <c r="A41" s="171"/>
      <c r="B41" s="25"/>
      <c r="C41" s="25"/>
      <c r="D41" s="25"/>
      <c r="E41" s="21"/>
      <c r="F41" s="79"/>
      <c r="G41" s="79"/>
      <c r="H41" s="80"/>
      <c r="I41" s="71"/>
      <c r="J41" s="9"/>
      <c r="K41" s="9"/>
      <c r="L41" s="9"/>
    </row>
    <row r="42" spans="1:12">
      <c r="A42" s="170"/>
      <c r="B42" s="24"/>
      <c r="C42" s="154"/>
      <c r="D42" s="155"/>
      <c r="E42" s="14"/>
      <c r="F42" s="154"/>
      <c r="G42" s="155"/>
      <c r="H42" s="14"/>
      <c r="I42" s="66"/>
      <c r="J42" s="9"/>
      <c r="K42" s="9"/>
      <c r="L42" s="9"/>
    </row>
    <row r="43" spans="1:12">
      <c r="A43" s="172"/>
      <c r="B43" s="26"/>
      <c r="C43" s="26"/>
      <c r="D43" s="18"/>
      <c r="E43" s="18"/>
      <c r="F43" s="26"/>
      <c r="G43" s="18"/>
      <c r="H43" s="18"/>
      <c r="I43" s="72"/>
      <c r="J43" s="9"/>
      <c r="K43" s="9"/>
      <c r="L43" s="9"/>
    </row>
    <row r="44" spans="1:12" ht="12.75" customHeight="1">
      <c r="A44" s="188" t="s">
        <v>17</v>
      </c>
      <c r="B44" s="189"/>
      <c r="C44" s="203"/>
      <c r="D44" s="204"/>
      <c r="E44" s="22"/>
      <c r="F44" s="190"/>
      <c r="G44" s="198"/>
      <c r="H44" s="198"/>
      <c r="I44" s="199"/>
      <c r="J44" s="9"/>
      <c r="K44" s="9"/>
      <c r="L44" s="9"/>
    </row>
    <row r="45" spans="1:12">
      <c r="A45" s="170"/>
      <c r="B45" s="24"/>
      <c r="C45" s="200"/>
      <c r="D45" s="201"/>
      <c r="E45" s="14"/>
      <c r="F45" s="200"/>
      <c r="G45" s="202"/>
      <c r="H45" s="27"/>
      <c r="I45" s="73"/>
      <c r="J45" s="9"/>
      <c r="K45" s="9"/>
      <c r="L45" s="9"/>
    </row>
    <row r="46" spans="1:12" ht="12.75" customHeight="1">
      <c r="A46" s="188" t="s">
        <v>18</v>
      </c>
      <c r="B46" s="189"/>
      <c r="C46" s="190" t="s">
        <v>286</v>
      </c>
      <c r="D46" s="191"/>
      <c r="E46" s="191"/>
      <c r="F46" s="191"/>
      <c r="G46" s="191"/>
      <c r="H46" s="191"/>
      <c r="I46" s="192"/>
      <c r="J46" s="9"/>
      <c r="K46" s="9"/>
      <c r="L46" s="9"/>
    </row>
    <row r="47" spans="1:12">
      <c r="A47" s="163"/>
      <c r="B47" s="20"/>
      <c r="C47" s="19" t="s">
        <v>28</v>
      </c>
      <c r="D47" s="14"/>
      <c r="E47" s="14"/>
      <c r="F47" s="14"/>
      <c r="G47" s="14"/>
      <c r="H47" s="14"/>
      <c r="I47" s="66"/>
      <c r="J47" s="9"/>
      <c r="K47" s="9"/>
      <c r="L47" s="9"/>
    </row>
    <row r="48" spans="1:12">
      <c r="A48" s="188" t="s">
        <v>19</v>
      </c>
      <c r="B48" s="189"/>
      <c r="C48" s="193" t="s">
        <v>287</v>
      </c>
      <c r="D48" s="194"/>
      <c r="E48" s="195"/>
      <c r="F48" s="14"/>
      <c r="G48" s="36" t="s">
        <v>2</v>
      </c>
      <c r="H48" s="193" t="s">
        <v>288</v>
      </c>
      <c r="I48" s="195"/>
      <c r="J48" s="9"/>
      <c r="K48" s="9"/>
      <c r="L48" s="9"/>
    </row>
    <row r="49" spans="1:12">
      <c r="A49" s="163"/>
      <c r="B49" s="20"/>
      <c r="C49" s="19"/>
      <c r="D49" s="14"/>
      <c r="E49" s="14"/>
      <c r="F49" s="14"/>
      <c r="G49" s="14"/>
      <c r="H49" s="14"/>
      <c r="I49" s="66"/>
      <c r="J49" s="9"/>
      <c r="K49" s="9"/>
      <c r="L49" s="9"/>
    </row>
    <row r="50" spans="1:12" ht="12.75" customHeight="1">
      <c r="A50" s="188" t="s">
        <v>12</v>
      </c>
      <c r="B50" s="189"/>
      <c r="C50" s="210" t="s">
        <v>289</v>
      </c>
      <c r="D50" s="211"/>
      <c r="E50" s="211"/>
      <c r="F50" s="211"/>
      <c r="G50" s="211"/>
      <c r="H50" s="211"/>
      <c r="I50" s="212"/>
      <c r="J50" s="9"/>
      <c r="K50" s="9"/>
      <c r="L50" s="9"/>
    </row>
    <row r="51" spans="1:12">
      <c r="A51" s="163"/>
      <c r="B51" s="20"/>
      <c r="C51" s="14"/>
      <c r="D51" s="14"/>
      <c r="E51" s="14"/>
      <c r="F51" s="14"/>
      <c r="G51" s="14"/>
      <c r="H51" s="14"/>
      <c r="I51" s="66"/>
      <c r="J51" s="9"/>
      <c r="K51" s="9"/>
      <c r="L51" s="9"/>
    </row>
    <row r="52" spans="1:12">
      <c r="A52" s="213" t="s">
        <v>20</v>
      </c>
      <c r="B52" s="214"/>
      <c r="C52" s="193" t="s">
        <v>297</v>
      </c>
      <c r="D52" s="194"/>
      <c r="E52" s="194"/>
      <c r="F52" s="194"/>
      <c r="G52" s="194"/>
      <c r="H52" s="194"/>
      <c r="I52" s="215"/>
      <c r="J52" s="9"/>
      <c r="K52" s="9"/>
      <c r="L52" s="9"/>
    </row>
    <row r="53" spans="1:12">
      <c r="A53" s="173"/>
      <c r="B53" s="18"/>
      <c r="C53" s="187" t="s">
        <v>29</v>
      </c>
      <c r="D53" s="187"/>
      <c r="E53" s="187"/>
      <c r="F53" s="187"/>
      <c r="G53" s="187"/>
      <c r="H53" s="187"/>
      <c r="I53" s="74"/>
      <c r="J53" s="9"/>
      <c r="K53" s="9"/>
      <c r="L53" s="9"/>
    </row>
    <row r="54" spans="1:12">
      <c r="A54" s="173"/>
      <c r="B54" s="18"/>
      <c r="C54" s="28"/>
      <c r="D54" s="28"/>
      <c r="E54" s="28"/>
      <c r="F54" s="28"/>
      <c r="G54" s="28"/>
      <c r="H54" s="28"/>
      <c r="I54" s="74"/>
      <c r="J54" s="9"/>
      <c r="K54" s="9"/>
      <c r="L54" s="9"/>
    </row>
    <row r="55" spans="1:12">
      <c r="A55" s="173"/>
      <c r="B55" s="216" t="s">
        <v>292</v>
      </c>
      <c r="C55" s="217"/>
      <c r="D55" s="217"/>
      <c r="E55" s="217"/>
      <c r="F55" s="181"/>
      <c r="G55" s="181"/>
      <c r="H55" s="181"/>
      <c r="I55" s="182"/>
      <c r="J55" s="9"/>
      <c r="K55" s="9"/>
      <c r="L55" s="9"/>
    </row>
    <row r="56" spans="1:12">
      <c r="A56" s="173"/>
      <c r="B56" s="218" t="s">
        <v>293</v>
      </c>
      <c r="C56" s="219"/>
      <c r="D56" s="219"/>
      <c r="E56" s="219"/>
      <c r="F56" s="219"/>
      <c r="G56" s="219"/>
      <c r="H56" s="219"/>
      <c r="I56" s="220"/>
      <c r="J56" s="9"/>
      <c r="K56" s="9"/>
      <c r="L56" s="9"/>
    </row>
    <row r="57" spans="1:12">
      <c r="A57" s="173"/>
      <c r="B57" s="218" t="s">
        <v>294</v>
      </c>
      <c r="C57" s="219"/>
      <c r="D57" s="219"/>
      <c r="E57" s="219"/>
      <c r="F57" s="219"/>
      <c r="G57" s="219"/>
      <c r="H57" s="219"/>
      <c r="I57" s="182"/>
      <c r="J57" s="9"/>
      <c r="K57" s="9"/>
      <c r="L57" s="9"/>
    </row>
    <row r="58" spans="1:12">
      <c r="A58" s="173"/>
      <c r="B58" s="218" t="s">
        <v>295</v>
      </c>
      <c r="C58" s="219"/>
      <c r="D58" s="219"/>
      <c r="E58" s="219"/>
      <c r="F58" s="219"/>
      <c r="G58" s="219"/>
      <c r="H58" s="219"/>
      <c r="I58" s="220"/>
      <c r="J58" s="9"/>
      <c r="K58" s="9"/>
      <c r="L58" s="9"/>
    </row>
    <row r="59" spans="1:12">
      <c r="A59" s="173"/>
      <c r="B59" s="218" t="s">
        <v>296</v>
      </c>
      <c r="C59" s="219"/>
      <c r="D59" s="219"/>
      <c r="E59" s="219"/>
      <c r="F59" s="219"/>
      <c r="G59" s="219"/>
      <c r="H59" s="219"/>
      <c r="I59" s="220"/>
      <c r="J59" s="9"/>
      <c r="K59" s="9"/>
      <c r="L59" s="9"/>
    </row>
    <row r="60" spans="1:12">
      <c r="A60" s="174" t="s">
        <v>3</v>
      </c>
      <c r="B60" s="14"/>
      <c r="C60" s="156"/>
      <c r="D60" s="156"/>
      <c r="E60" s="156"/>
      <c r="F60" s="156"/>
      <c r="G60" s="156"/>
      <c r="H60" s="156"/>
      <c r="I60" s="157"/>
      <c r="J60" s="9"/>
      <c r="K60" s="9"/>
      <c r="L60" s="9"/>
    </row>
    <row r="61" spans="1:12" ht="13.5" thickBot="1">
      <c r="A61" s="162"/>
      <c r="B61" s="14"/>
      <c r="C61" s="14"/>
      <c r="D61" s="14"/>
      <c r="E61" s="14"/>
      <c r="F61" s="14"/>
      <c r="G61" s="29"/>
      <c r="H61" s="30"/>
      <c r="I61" s="75"/>
      <c r="J61" s="9"/>
      <c r="K61" s="9"/>
      <c r="L61" s="9"/>
    </row>
    <row r="62" spans="1:12">
      <c r="A62" s="175"/>
      <c r="B62" s="119"/>
      <c r="C62" s="14"/>
      <c r="D62" s="14"/>
      <c r="E62" s="82" t="s">
        <v>30</v>
      </c>
      <c r="F62" s="25"/>
      <c r="G62" s="205" t="s">
        <v>31</v>
      </c>
      <c r="H62" s="206"/>
      <c r="I62" s="207"/>
      <c r="J62" s="9"/>
      <c r="K62" s="9"/>
      <c r="L62" s="9"/>
    </row>
    <row r="63" spans="1:12">
      <c r="A63" s="179"/>
      <c r="B63" s="180"/>
      <c r="C63" s="76"/>
      <c r="D63" s="76"/>
      <c r="E63" s="76"/>
      <c r="F63" s="76"/>
      <c r="G63" s="208"/>
      <c r="H63" s="209"/>
      <c r="I63" s="77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5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64" zoomScale="110" zoomScaleNormal="100" workbookViewId="0">
      <selection activeCell="F89" sqref="F89"/>
    </sheetView>
  </sheetViews>
  <sheetFormatPr defaultColWidth="9.140625" defaultRowHeight="12.75"/>
  <cols>
    <col min="1" max="1" width="72.85546875" style="121" bestFit="1" customWidth="1"/>
    <col min="2" max="2" width="9.140625" style="37"/>
    <col min="3" max="4" width="12.7109375" style="37" customWidth="1"/>
    <col min="5" max="5" width="12.85546875" style="37" bestFit="1" customWidth="1"/>
    <col min="6" max="16384" width="9.140625" style="37"/>
  </cols>
  <sheetData>
    <row r="1" spans="1:5" ht="12.75" customHeight="1">
      <c r="A1" s="256" t="s">
        <v>270</v>
      </c>
      <c r="B1" s="256"/>
      <c r="C1" s="256"/>
      <c r="D1" s="256"/>
    </row>
    <row r="2" spans="1:5" ht="12.75" customHeight="1">
      <c r="A2" s="257" t="s">
        <v>298</v>
      </c>
      <c r="B2" s="257"/>
      <c r="C2" s="257"/>
      <c r="D2" s="257"/>
    </row>
    <row r="3" spans="1:5" ht="12.75" customHeight="1">
      <c r="A3" s="102" t="s">
        <v>290</v>
      </c>
      <c r="B3" s="103"/>
      <c r="C3" s="104"/>
      <c r="D3" s="104"/>
    </row>
    <row r="4" spans="1:5" ht="22.7" customHeight="1">
      <c r="A4" s="105" t="s">
        <v>33</v>
      </c>
      <c r="B4" s="42" t="s">
        <v>34</v>
      </c>
      <c r="C4" s="43" t="s">
        <v>35</v>
      </c>
      <c r="D4" s="43" t="s">
        <v>36</v>
      </c>
    </row>
    <row r="5" spans="1:5" ht="12.75" customHeight="1">
      <c r="A5" s="40">
        <v>1</v>
      </c>
      <c r="B5" s="41">
        <v>2</v>
      </c>
      <c r="C5" s="40">
        <v>3</v>
      </c>
      <c r="D5" s="40">
        <v>4</v>
      </c>
    </row>
    <row r="6" spans="1:5" ht="12.75" customHeight="1">
      <c r="A6" s="106" t="s">
        <v>37</v>
      </c>
      <c r="B6" s="107"/>
      <c r="C6" s="108"/>
      <c r="D6" s="108"/>
    </row>
    <row r="7" spans="1:5" ht="12.75" customHeight="1">
      <c r="A7" s="98" t="s">
        <v>38</v>
      </c>
      <c r="B7" s="3">
        <v>1</v>
      </c>
      <c r="C7" s="5"/>
      <c r="D7" s="5"/>
    </row>
    <row r="8" spans="1:5" ht="12.75" customHeight="1">
      <c r="A8" s="88" t="s">
        <v>39</v>
      </c>
      <c r="B8" s="1">
        <v>2</v>
      </c>
      <c r="C8" s="38">
        <f>C9+C16+C26+C35+C39</f>
        <v>2934693969</v>
      </c>
      <c r="D8" s="38">
        <f>D9+D16+D26+D35+D39</f>
        <v>3225198729.75</v>
      </c>
      <c r="E8" s="86"/>
    </row>
    <row r="9" spans="1:5" ht="12.75" customHeight="1">
      <c r="A9" s="99" t="s">
        <v>40</v>
      </c>
      <c r="B9" s="1">
        <v>3</v>
      </c>
      <c r="C9" s="38">
        <f>SUM(C10:C15)</f>
        <v>8156685</v>
      </c>
      <c r="D9" s="38">
        <f>SUM(D10:D15)</f>
        <v>6968600.75</v>
      </c>
      <c r="E9" s="86"/>
    </row>
    <row r="10" spans="1:5">
      <c r="A10" s="99" t="s">
        <v>41</v>
      </c>
      <c r="B10" s="1">
        <v>4</v>
      </c>
      <c r="C10" s="6"/>
      <c r="D10" s="6"/>
      <c r="E10" s="86"/>
    </row>
    <row r="11" spans="1:5" ht="12.75" customHeight="1">
      <c r="A11" s="99" t="s">
        <v>42</v>
      </c>
      <c r="B11" s="1">
        <v>5</v>
      </c>
      <c r="C11" s="6">
        <v>8150275</v>
      </c>
      <c r="D11" s="6">
        <v>6467590.75</v>
      </c>
      <c r="E11" s="86"/>
    </row>
    <row r="12" spans="1:5">
      <c r="A12" s="99" t="s">
        <v>0</v>
      </c>
      <c r="B12" s="1">
        <v>6</v>
      </c>
      <c r="C12" s="6"/>
      <c r="D12" s="6"/>
      <c r="E12" s="86"/>
    </row>
    <row r="13" spans="1:5">
      <c r="A13" s="99" t="s">
        <v>43</v>
      </c>
      <c r="B13" s="1">
        <v>7</v>
      </c>
      <c r="C13" s="6"/>
      <c r="D13" s="6"/>
      <c r="E13" s="86"/>
    </row>
    <row r="14" spans="1:5">
      <c r="A14" s="99" t="s">
        <v>44</v>
      </c>
      <c r="B14" s="1">
        <v>8</v>
      </c>
      <c r="C14" s="6">
        <v>6410</v>
      </c>
      <c r="D14" s="6">
        <v>501010</v>
      </c>
      <c r="E14" s="86"/>
    </row>
    <row r="15" spans="1:5">
      <c r="A15" s="99" t="s">
        <v>45</v>
      </c>
      <c r="B15" s="1">
        <v>9</v>
      </c>
      <c r="C15" s="6"/>
      <c r="D15" s="6"/>
      <c r="E15" s="86"/>
    </row>
    <row r="16" spans="1:5">
      <c r="A16" s="99" t="s">
        <v>46</v>
      </c>
      <c r="B16" s="1">
        <v>10</v>
      </c>
      <c r="C16" s="38">
        <f>SUM(C17:C25)</f>
        <v>2281695410</v>
      </c>
      <c r="D16" s="38">
        <f>SUM(D17:D25)</f>
        <v>2397739020</v>
      </c>
      <c r="E16" s="86"/>
    </row>
    <row r="17" spans="1:5">
      <c r="A17" s="99" t="s">
        <v>47</v>
      </c>
      <c r="B17" s="1">
        <v>11</v>
      </c>
      <c r="C17" s="6">
        <v>518328470</v>
      </c>
      <c r="D17" s="6">
        <v>519597293</v>
      </c>
      <c r="E17" s="86"/>
    </row>
    <row r="18" spans="1:5">
      <c r="A18" s="99" t="s">
        <v>48</v>
      </c>
      <c r="B18" s="1">
        <v>12</v>
      </c>
      <c r="C18" s="6">
        <v>1379186088</v>
      </c>
      <c r="D18" s="6">
        <f>1328411561+523406</f>
        <v>1328934967</v>
      </c>
      <c r="E18" s="86"/>
    </row>
    <row r="19" spans="1:5">
      <c r="A19" s="99" t="s">
        <v>49</v>
      </c>
      <c r="B19" s="1">
        <v>13</v>
      </c>
      <c r="C19" s="6">
        <v>164971179</v>
      </c>
      <c r="D19" s="6">
        <v>159635118</v>
      </c>
      <c r="E19" s="86"/>
    </row>
    <row r="20" spans="1:5">
      <c r="A20" s="99" t="s">
        <v>50</v>
      </c>
      <c r="B20" s="1">
        <v>14</v>
      </c>
      <c r="C20" s="6">
        <v>50212919</v>
      </c>
      <c r="D20" s="6">
        <v>56860509</v>
      </c>
      <c r="E20" s="86"/>
    </row>
    <row r="21" spans="1:5">
      <c r="A21" s="99" t="s">
        <v>51</v>
      </c>
      <c r="B21" s="1">
        <v>15</v>
      </c>
      <c r="C21" s="6"/>
      <c r="D21" s="6"/>
      <c r="E21" s="86"/>
    </row>
    <row r="22" spans="1:5">
      <c r="A22" s="99" t="s">
        <v>52</v>
      </c>
      <c r="B22" s="1">
        <v>16</v>
      </c>
      <c r="C22" s="6">
        <v>20168936</v>
      </c>
      <c r="D22" s="6">
        <v>22762581</v>
      </c>
      <c r="E22" s="86"/>
    </row>
    <row r="23" spans="1:5">
      <c r="A23" s="99" t="s">
        <v>53</v>
      </c>
      <c r="B23" s="1">
        <v>17</v>
      </c>
      <c r="C23" s="6">
        <v>107593195</v>
      </c>
      <c r="D23" s="6">
        <v>270735648</v>
      </c>
      <c r="E23" s="86"/>
    </row>
    <row r="24" spans="1:5">
      <c r="A24" s="99" t="s">
        <v>54</v>
      </c>
      <c r="B24" s="1">
        <v>18</v>
      </c>
      <c r="C24" s="6">
        <v>21726121</v>
      </c>
      <c r="D24" s="6">
        <v>20227808</v>
      </c>
      <c r="E24" s="86"/>
    </row>
    <row r="25" spans="1:5">
      <c r="A25" s="99" t="s">
        <v>55</v>
      </c>
      <c r="B25" s="1">
        <v>19</v>
      </c>
      <c r="C25" s="6">
        <v>19508502</v>
      </c>
      <c r="D25" s="6">
        <f>19508502-523406</f>
        <v>18985096</v>
      </c>
      <c r="E25" s="86"/>
    </row>
    <row r="26" spans="1:5">
      <c r="A26" s="99" t="s">
        <v>56</v>
      </c>
      <c r="B26" s="1">
        <v>20</v>
      </c>
      <c r="C26" s="38">
        <f>SUM(C27:C34)</f>
        <v>440999450</v>
      </c>
      <c r="D26" s="38">
        <f>SUM(D27:D34)</f>
        <v>616064344</v>
      </c>
      <c r="E26" s="86"/>
    </row>
    <row r="27" spans="1:5">
      <c r="A27" s="99" t="s">
        <v>57</v>
      </c>
      <c r="B27" s="1">
        <v>21</v>
      </c>
      <c r="C27" s="6">
        <v>401967938</v>
      </c>
      <c r="D27" s="6">
        <v>574984511</v>
      </c>
      <c r="E27" s="86"/>
    </row>
    <row r="28" spans="1:5">
      <c r="A28" s="99" t="s">
        <v>58</v>
      </c>
      <c r="B28" s="1">
        <v>22</v>
      </c>
      <c r="C28" s="6"/>
      <c r="D28" s="6"/>
      <c r="E28" s="86"/>
    </row>
    <row r="29" spans="1:5">
      <c r="A29" s="99" t="s">
        <v>59</v>
      </c>
      <c r="B29" s="1">
        <v>23</v>
      </c>
      <c r="C29" s="6">
        <v>140000</v>
      </c>
      <c r="D29" s="6">
        <v>140000</v>
      </c>
      <c r="E29" s="86"/>
    </row>
    <row r="30" spans="1:5">
      <c r="A30" s="99" t="s">
        <v>60</v>
      </c>
      <c r="B30" s="1">
        <v>24</v>
      </c>
      <c r="C30" s="6"/>
      <c r="D30" s="6"/>
      <c r="E30" s="86"/>
    </row>
    <row r="31" spans="1:5">
      <c r="A31" s="99" t="s">
        <v>61</v>
      </c>
      <c r="B31" s="1">
        <v>25</v>
      </c>
      <c r="C31" s="6">
        <v>38891512</v>
      </c>
      <c r="D31" s="6">
        <v>40939833</v>
      </c>
      <c r="E31" s="86"/>
    </row>
    <row r="32" spans="1:5">
      <c r="A32" s="99" t="s">
        <v>62</v>
      </c>
      <c r="B32" s="1">
        <v>26</v>
      </c>
      <c r="C32" s="6"/>
      <c r="D32" s="6"/>
      <c r="E32" s="86"/>
    </row>
    <row r="33" spans="1:5">
      <c r="A33" s="99" t="s">
        <v>63</v>
      </c>
      <c r="B33" s="1">
        <v>27</v>
      </c>
      <c r="C33" s="6"/>
      <c r="D33" s="6"/>
      <c r="E33" s="86"/>
    </row>
    <row r="34" spans="1:5">
      <c r="A34" s="99" t="s">
        <v>64</v>
      </c>
      <c r="B34" s="1">
        <v>28</v>
      </c>
      <c r="C34" s="6"/>
      <c r="D34" s="6"/>
      <c r="E34" s="86"/>
    </row>
    <row r="35" spans="1:5">
      <c r="A35" s="99" t="s">
        <v>65</v>
      </c>
      <c r="B35" s="1">
        <v>29</v>
      </c>
      <c r="C35" s="38">
        <f>SUM(C36:C38)</f>
        <v>163186378</v>
      </c>
      <c r="D35" s="38">
        <f>SUM(D36:D38)</f>
        <v>163133381</v>
      </c>
      <c r="E35" s="86"/>
    </row>
    <row r="36" spans="1:5">
      <c r="A36" s="99" t="s">
        <v>66</v>
      </c>
      <c r="B36" s="1">
        <v>30</v>
      </c>
      <c r="C36" s="6">
        <v>162453654</v>
      </c>
      <c r="D36" s="6">
        <v>162453654</v>
      </c>
      <c r="E36" s="86"/>
    </row>
    <row r="37" spans="1:5">
      <c r="A37" s="99" t="s">
        <v>67</v>
      </c>
      <c r="B37" s="1">
        <v>31</v>
      </c>
      <c r="C37" s="6">
        <v>372432</v>
      </c>
      <c r="D37" s="6">
        <v>323274</v>
      </c>
      <c r="E37" s="86"/>
    </row>
    <row r="38" spans="1:5">
      <c r="A38" s="99" t="s">
        <v>68</v>
      </c>
      <c r="B38" s="1">
        <v>32</v>
      </c>
      <c r="C38" s="6">
        <v>360292</v>
      </c>
      <c r="D38" s="6">
        <v>356453</v>
      </c>
      <c r="E38" s="86"/>
    </row>
    <row r="39" spans="1:5">
      <c r="A39" s="99" t="s">
        <v>69</v>
      </c>
      <c r="B39" s="1">
        <v>33</v>
      </c>
      <c r="C39" s="6">
        <v>40656046</v>
      </c>
      <c r="D39" s="6">
        <v>41293384</v>
      </c>
      <c r="E39" s="86"/>
    </row>
    <row r="40" spans="1:5">
      <c r="A40" s="88" t="s">
        <v>70</v>
      </c>
      <c r="B40" s="1">
        <v>34</v>
      </c>
      <c r="C40" s="38">
        <f>C41+C49+C56+C64</f>
        <v>236076707</v>
      </c>
      <c r="D40" s="38">
        <f>D41+D49+D56+D64</f>
        <v>244140147</v>
      </c>
      <c r="E40" s="86"/>
    </row>
    <row r="41" spans="1:5">
      <c r="A41" s="99" t="s">
        <v>71</v>
      </c>
      <c r="B41" s="1">
        <v>35</v>
      </c>
      <c r="C41" s="38">
        <f>SUM(C42:C48)</f>
        <v>7124242</v>
      </c>
      <c r="D41" s="38">
        <f>SUM(D42:D48)</f>
        <v>9762353</v>
      </c>
      <c r="E41" s="86"/>
    </row>
    <row r="42" spans="1:5">
      <c r="A42" s="99" t="s">
        <v>72</v>
      </c>
      <c r="B42" s="1">
        <v>36</v>
      </c>
      <c r="C42" s="6">
        <v>6329111</v>
      </c>
      <c r="D42" s="6">
        <v>8675041</v>
      </c>
      <c r="E42" s="86"/>
    </row>
    <row r="43" spans="1:5">
      <c r="A43" s="99" t="s">
        <v>73</v>
      </c>
      <c r="B43" s="1">
        <v>37</v>
      </c>
      <c r="C43" s="6"/>
      <c r="D43" s="6"/>
      <c r="E43" s="86"/>
    </row>
    <row r="44" spans="1:5">
      <c r="A44" s="99" t="s">
        <v>74</v>
      </c>
      <c r="B44" s="1">
        <v>38</v>
      </c>
      <c r="C44" s="6"/>
      <c r="D44" s="6"/>
      <c r="E44" s="86"/>
    </row>
    <row r="45" spans="1:5">
      <c r="A45" s="99" t="s">
        <v>75</v>
      </c>
      <c r="B45" s="1">
        <v>39</v>
      </c>
      <c r="C45" s="6">
        <v>50137</v>
      </c>
      <c r="D45" s="6">
        <v>342318</v>
      </c>
      <c r="E45" s="86"/>
    </row>
    <row r="46" spans="1:5">
      <c r="A46" s="99" t="s">
        <v>76</v>
      </c>
      <c r="B46" s="1">
        <v>40</v>
      </c>
      <c r="C46" s="6"/>
      <c r="D46" s="6"/>
      <c r="E46" s="86"/>
    </row>
    <row r="47" spans="1:5">
      <c r="A47" s="99" t="s">
        <v>77</v>
      </c>
      <c r="B47" s="1">
        <v>41</v>
      </c>
      <c r="C47" s="6">
        <v>744994</v>
      </c>
      <c r="D47" s="6">
        <v>744994</v>
      </c>
      <c r="E47" s="86"/>
    </row>
    <row r="48" spans="1:5">
      <c r="A48" s="99" t="s">
        <v>78</v>
      </c>
      <c r="B48" s="1">
        <v>42</v>
      </c>
      <c r="C48" s="6"/>
      <c r="D48" s="6"/>
      <c r="E48" s="86"/>
    </row>
    <row r="49" spans="1:5">
      <c r="A49" s="99" t="s">
        <v>79</v>
      </c>
      <c r="B49" s="1">
        <v>43</v>
      </c>
      <c r="C49" s="38">
        <f>SUM(C50:C55)</f>
        <v>61014573</v>
      </c>
      <c r="D49" s="38">
        <f>SUM(D50:D55)</f>
        <v>88627253</v>
      </c>
      <c r="E49" s="86"/>
    </row>
    <row r="50" spans="1:5">
      <c r="A50" s="99" t="s">
        <v>80</v>
      </c>
      <c r="B50" s="1">
        <v>44</v>
      </c>
      <c r="C50" s="6">
        <v>28734473</v>
      </c>
      <c r="D50" s="6">
        <v>14681397</v>
      </c>
      <c r="E50" s="86"/>
    </row>
    <row r="51" spans="1:5">
      <c r="A51" s="99" t="s">
        <v>81</v>
      </c>
      <c r="B51" s="1">
        <v>45</v>
      </c>
      <c r="C51" s="6">
        <v>18155016</v>
      </c>
      <c r="D51" s="6">
        <v>61642737</v>
      </c>
      <c r="E51" s="86"/>
    </row>
    <row r="52" spans="1:5">
      <c r="A52" s="99" t="s">
        <v>82</v>
      </c>
      <c r="B52" s="1">
        <v>46</v>
      </c>
      <c r="C52" s="6"/>
      <c r="D52" s="6"/>
      <c r="E52" s="86"/>
    </row>
    <row r="53" spans="1:5">
      <c r="A53" s="99" t="s">
        <v>83</v>
      </c>
      <c r="B53" s="1">
        <v>47</v>
      </c>
      <c r="C53" s="6">
        <v>324333</v>
      </c>
      <c r="D53" s="6">
        <v>3360526</v>
      </c>
      <c r="E53" s="86"/>
    </row>
    <row r="54" spans="1:5">
      <c r="A54" s="99" t="s">
        <v>84</v>
      </c>
      <c r="B54" s="1">
        <v>48</v>
      </c>
      <c r="C54" s="6">
        <v>10039908</v>
      </c>
      <c r="D54" s="6">
        <v>1373408</v>
      </c>
      <c r="E54" s="86"/>
    </row>
    <row r="55" spans="1:5">
      <c r="A55" s="99" t="s">
        <v>85</v>
      </c>
      <c r="B55" s="1">
        <v>49</v>
      </c>
      <c r="C55" s="6">
        <v>3760843</v>
      </c>
      <c r="D55" s="6">
        <v>7569185</v>
      </c>
      <c r="E55" s="86"/>
    </row>
    <row r="56" spans="1:5">
      <c r="A56" s="99" t="s">
        <v>86</v>
      </c>
      <c r="B56" s="1">
        <v>50</v>
      </c>
      <c r="C56" s="38">
        <f>SUM(C57:C63)</f>
        <v>1749282</v>
      </c>
      <c r="D56" s="38">
        <f>D57+D58+D59+D60+D61+D62+D63</f>
        <v>3801039</v>
      </c>
      <c r="E56" s="86"/>
    </row>
    <row r="57" spans="1:5">
      <c r="A57" s="99" t="s">
        <v>57</v>
      </c>
      <c r="B57" s="1">
        <v>51</v>
      </c>
      <c r="C57" s="6"/>
      <c r="D57" s="6"/>
      <c r="E57" s="86"/>
    </row>
    <row r="58" spans="1:5">
      <c r="A58" s="99" t="s">
        <v>58</v>
      </c>
      <c r="B58" s="1">
        <v>52</v>
      </c>
      <c r="C58" s="6">
        <v>517300</v>
      </c>
      <c r="D58" s="6">
        <v>617300</v>
      </c>
      <c r="E58" s="86"/>
    </row>
    <row r="59" spans="1:5">
      <c r="A59" s="99" t="s">
        <v>59</v>
      </c>
      <c r="B59" s="1">
        <v>53</v>
      </c>
      <c r="C59" s="6"/>
      <c r="D59" s="6"/>
      <c r="E59" s="86"/>
    </row>
    <row r="60" spans="1:5">
      <c r="A60" s="99" t="s">
        <v>60</v>
      </c>
      <c r="B60" s="1">
        <v>54</v>
      </c>
      <c r="C60" s="6"/>
      <c r="D60" s="6"/>
      <c r="E60" s="86"/>
    </row>
    <row r="61" spans="1:5">
      <c r="A61" s="99" t="s">
        <v>61</v>
      </c>
      <c r="B61" s="1">
        <v>55</v>
      </c>
      <c r="C61" s="6">
        <v>1091162</v>
      </c>
      <c r="D61" s="6">
        <v>1061717</v>
      </c>
      <c r="E61" s="86"/>
    </row>
    <row r="62" spans="1:5">
      <c r="A62" s="99" t="s">
        <v>62</v>
      </c>
      <c r="B62" s="1">
        <v>56</v>
      </c>
      <c r="C62" s="6">
        <v>140820</v>
      </c>
      <c r="D62" s="6">
        <v>29806</v>
      </c>
      <c r="E62" s="86"/>
    </row>
    <row r="63" spans="1:5">
      <c r="A63" s="99" t="s">
        <v>87</v>
      </c>
      <c r="B63" s="1">
        <v>57</v>
      </c>
      <c r="C63" s="6"/>
      <c r="D63" s="6">
        <v>2092216</v>
      </c>
      <c r="E63" s="86"/>
    </row>
    <row r="64" spans="1:5">
      <c r="A64" s="131" t="s">
        <v>88</v>
      </c>
      <c r="B64" s="1">
        <v>58</v>
      </c>
      <c r="C64" s="6">
        <v>166188610</v>
      </c>
      <c r="D64" s="6">
        <v>141949502</v>
      </c>
      <c r="E64" s="86"/>
    </row>
    <row r="65" spans="1:5">
      <c r="A65" s="88" t="s">
        <v>89</v>
      </c>
      <c r="B65" s="1">
        <v>59</v>
      </c>
      <c r="C65" s="6">
        <v>23979421</v>
      </c>
      <c r="D65" s="6">
        <v>72613909</v>
      </c>
      <c r="E65" s="86"/>
    </row>
    <row r="66" spans="1:5">
      <c r="A66" s="88" t="s">
        <v>90</v>
      </c>
      <c r="B66" s="1">
        <v>60</v>
      </c>
      <c r="C66" s="38">
        <f>C7+C8+C40+C65</f>
        <v>3194750097</v>
      </c>
      <c r="D66" s="38">
        <f>D7+D8+D40+D65</f>
        <v>3541952785.75</v>
      </c>
      <c r="E66" s="86"/>
    </row>
    <row r="67" spans="1:5">
      <c r="A67" s="100" t="s">
        <v>91</v>
      </c>
      <c r="B67" s="4">
        <v>61</v>
      </c>
      <c r="C67" s="7">
        <v>54802077</v>
      </c>
      <c r="D67" s="7">
        <v>54763140</v>
      </c>
      <c r="E67" s="86"/>
    </row>
    <row r="68" spans="1:5">
      <c r="A68" s="95" t="s">
        <v>132</v>
      </c>
      <c r="B68" s="101"/>
      <c r="C68" s="124"/>
      <c r="D68" s="124"/>
      <c r="E68" s="86"/>
    </row>
    <row r="69" spans="1:5">
      <c r="A69" s="98" t="s">
        <v>92</v>
      </c>
      <c r="B69" s="3">
        <v>62</v>
      </c>
      <c r="C69" s="128">
        <f>C70+C71+C72+C78+C79+C82+C85</f>
        <v>2079320752</v>
      </c>
      <c r="D69" s="128">
        <f>D70+D71+D72+D78+D79+D82+D85</f>
        <v>1912147649</v>
      </c>
      <c r="E69" s="86"/>
    </row>
    <row r="70" spans="1:5">
      <c r="A70" s="99" t="s">
        <v>93</v>
      </c>
      <c r="B70" s="1">
        <v>63</v>
      </c>
      <c r="C70" s="6">
        <v>1672021210</v>
      </c>
      <c r="D70" s="6">
        <v>1672021210</v>
      </c>
      <c r="E70" s="86"/>
    </row>
    <row r="71" spans="1:5">
      <c r="A71" s="99" t="s">
        <v>94</v>
      </c>
      <c r="B71" s="1">
        <v>64</v>
      </c>
      <c r="C71" s="6">
        <v>-8395862</v>
      </c>
      <c r="D71" s="6">
        <v>39505</v>
      </c>
      <c r="E71" s="86"/>
    </row>
    <row r="72" spans="1:5">
      <c r="A72" s="99" t="s">
        <v>95</v>
      </c>
      <c r="B72" s="1">
        <v>65</v>
      </c>
      <c r="C72" s="38">
        <f>C73+C74-C75+C76+C77</f>
        <v>98724306</v>
      </c>
      <c r="D72" s="38">
        <f>D73+D74-D75+D76+D77</f>
        <v>72912085</v>
      </c>
      <c r="E72" s="86"/>
    </row>
    <row r="73" spans="1:5">
      <c r="A73" s="99" t="s">
        <v>96</v>
      </c>
      <c r="B73" s="1">
        <v>66</v>
      </c>
      <c r="C73" s="6">
        <v>60724657</v>
      </c>
      <c r="D73" s="6">
        <v>61906040</v>
      </c>
      <c r="E73" s="86"/>
    </row>
    <row r="74" spans="1:5">
      <c r="A74" s="99" t="s">
        <v>97</v>
      </c>
      <c r="B74" s="1">
        <v>67</v>
      </c>
      <c r="C74" s="6">
        <v>24344407</v>
      </c>
      <c r="D74" s="6">
        <v>24344407</v>
      </c>
      <c r="E74" s="86"/>
    </row>
    <row r="75" spans="1:5">
      <c r="A75" s="99" t="s">
        <v>98</v>
      </c>
      <c r="B75" s="1">
        <v>68</v>
      </c>
      <c r="C75" s="6">
        <v>8836448</v>
      </c>
      <c r="D75" s="6">
        <v>13338708</v>
      </c>
      <c r="E75" s="86"/>
    </row>
    <row r="76" spans="1:5">
      <c r="A76" s="99" t="s">
        <v>99</v>
      </c>
      <c r="B76" s="1">
        <v>69</v>
      </c>
      <c r="C76" s="6"/>
      <c r="D76" s="6"/>
      <c r="E76" s="86"/>
    </row>
    <row r="77" spans="1:5">
      <c r="A77" s="99" t="s">
        <v>100</v>
      </c>
      <c r="B77" s="1">
        <v>70</v>
      </c>
      <c r="C77" s="6">
        <v>22491690</v>
      </c>
      <c r="D77" s="6">
        <v>346</v>
      </c>
      <c r="E77" s="86"/>
    </row>
    <row r="78" spans="1:5">
      <c r="A78" s="99" t="s">
        <v>101</v>
      </c>
      <c r="B78" s="1">
        <v>71</v>
      </c>
      <c r="C78" s="6">
        <v>29750702</v>
      </c>
      <c r="D78" s="6">
        <v>31389359</v>
      </c>
      <c r="E78" s="86"/>
    </row>
    <row r="79" spans="1:5">
      <c r="A79" s="99" t="s">
        <v>102</v>
      </c>
      <c r="B79" s="1">
        <v>72</v>
      </c>
      <c r="C79" s="38">
        <f>C80-C81</f>
        <v>263592748</v>
      </c>
      <c r="D79" s="38">
        <f>D80-D81</f>
        <v>221960894</v>
      </c>
      <c r="E79" s="86"/>
    </row>
    <row r="80" spans="1:5">
      <c r="A80" s="99" t="s">
        <v>103</v>
      </c>
      <c r="B80" s="1">
        <v>73</v>
      </c>
      <c r="C80" s="6">
        <v>263592748</v>
      </c>
      <c r="D80" s="6">
        <f>231212029-9251135</f>
        <v>221960894</v>
      </c>
      <c r="E80" s="86"/>
    </row>
    <row r="81" spans="1:5">
      <c r="A81" s="99" t="s">
        <v>104</v>
      </c>
      <c r="B81" s="1">
        <v>74</v>
      </c>
      <c r="C81" s="6"/>
      <c r="D81" s="6"/>
      <c r="E81" s="86"/>
    </row>
    <row r="82" spans="1:5">
      <c r="A82" s="99" t="s">
        <v>105</v>
      </c>
      <c r="B82" s="1">
        <v>75</v>
      </c>
      <c r="C82" s="38">
        <f>C83-C84</f>
        <v>23627648</v>
      </c>
      <c r="D82" s="38">
        <f>D83-D84</f>
        <v>-86175404</v>
      </c>
      <c r="E82" s="86"/>
    </row>
    <row r="83" spans="1:5">
      <c r="A83" s="99" t="s">
        <v>106</v>
      </c>
      <c r="B83" s="1">
        <v>76</v>
      </c>
      <c r="C83" s="6">
        <v>23627648</v>
      </c>
      <c r="D83" s="6"/>
      <c r="E83" s="86"/>
    </row>
    <row r="84" spans="1:5">
      <c r="A84" s="99" t="s">
        <v>107</v>
      </c>
      <c r="B84" s="1">
        <v>77</v>
      </c>
      <c r="C84" s="6"/>
      <c r="D84" s="6">
        <v>86175404</v>
      </c>
      <c r="E84" s="86"/>
    </row>
    <row r="85" spans="1:5">
      <c r="A85" s="99" t="s">
        <v>108</v>
      </c>
      <c r="B85" s="1">
        <v>78</v>
      </c>
      <c r="C85" s="6"/>
      <c r="D85" s="6"/>
      <c r="E85" s="86"/>
    </row>
    <row r="86" spans="1:5">
      <c r="A86" s="88" t="s">
        <v>109</v>
      </c>
      <c r="B86" s="1">
        <v>79</v>
      </c>
      <c r="C86" s="38">
        <f>SUM(C87:C89)</f>
        <v>0</v>
      </c>
      <c r="D86" s="38">
        <f>SUM(D87:D89)</f>
        <v>0</v>
      </c>
      <c r="E86" s="86"/>
    </row>
    <row r="87" spans="1:5">
      <c r="A87" s="99" t="s">
        <v>110</v>
      </c>
      <c r="B87" s="1">
        <v>80</v>
      </c>
      <c r="C87" s="6"/>
      <c r="D87" s="6"/>
      <c r="E87" s="86"/>
    </row>
    <row r="88" spans="1:5">
      <c r="A88" s="99" t="s">
        <v>111</v>
      </c>
      <c r="B88" s="1">
        <v>81</v>
      </c>
      <c r="C88" s="6"/>
      <c r="D88" s="6"/>
      <c r="E88" s="86"/>
    </row>
    <row r="89" spans="1:5">
      <c r="A89" s="99" t="s">
        <v>112</v>
      </c>
      <c r="B89" s="1">
        <v>82</v>
      </c>
      <c r="C89" s="6"/>
      <c r="D89" s="6"/>
      <c r="E89" s="86"/>
    </row>
    <row r="90" spans="1:5">
      <c r="A90" s="88" t="s">
        <v>113</v>
      </c>
      <c r="B90" s="1">
        <v>83</v>
      </c>
      <c r="C90" s="38">
        <f>SUM(C91:C99)</f>
        <v>819921751</v>
      </c>
      <c r="D90" s="38">
        <f>SUM(D91:D99)</f>
        <v>1054580065</v>
      </c>
      <c r="E90" s="86"/>
    </row>
    <row r="91" spans="1:5">
      <c r="A91" s="99" t="s">
        <v>114</v>
      </c>
      <c r="B91" s="1">
        <v>84</v>
      </c>
      <c r="C91" s="6"/>
      <c r="D91" s="6"/>
      <c r="E91" s="86"/>
    </row>
    <row r="92" spans="1:5">
      <c r="A92" s="99" t="s">
        <v>115</v>
      </c>
      <c r="B92" s="1">
        <v>85</v>
      </c>
      <c r="C92" s="6"/>
      <c r="D92" s="6"/>
      <c r="E92" s="86"/>
    </row>
    <row r="93" spans="1:5">
      <c r="A93" s="99" t="s">
        <v>116</v>
      </c>
      <c r="B93" s="1">
        <v>86</v>
      </c>
      <c r="C93" s="6">
        <v>813686208</v>
      </c>
      <c r="D93" s="6">
        <v>1047544800</v>
      </c>
      <c r="E93" s="86"/>
    </row>
    <row r="94" spans="1:5">
      <c r="A94" s="99" t="s">
        <v>117</v>
      </c>
      <c r="B94" s="1">
        <v>87</v>
      </c>
      <c r="C94" s="6"/>
      <c r="D94" s="6"/>
      <c r="E94" s="86"/>
    </row>
    <row r="95" spans="1:5">
      <c r="A95" s="99" t="s">
        <v>118</v>
      </c>
      <c r="B95" s="1">
        <v>88</v>
      </c>
      <c r="C95" s="6"/>
      <c r="D95" s="6"/>
      <c r="E95" s="86"/>
    </row>
    <row r="96" spans="1:5">
      <c r="A96" s="99" t="s">
        <v>119</v>
      </c>
      <c r="B96" s="1">
        <v>89</v>
      </c>
      <c r="C96" s="6"/>
      <c r="D96" s="6"/>
      <c r="E96" s="86"/>
    </row>
    <row r="97" spans="1:5">
      <c r="A97" s="99" t="s">
        <v>120</v>
      </c>
      <c r="B97" s="1">
        <v>90</v>
      </c>
      <c r="C97" s="6"/>
      <c r="D97" s="6"/>
      <c r="E97" s="86"/>
    </row>
    <row r="98" spans="1:5">
      <c r="A98" s="99" t="s">
        <v>121</v>
      </c>
      <c r="B98" s="1">
        <v>91</v>
      </c>
      <c r="C98" s="6">
        <v>3937690</v>
      </c>
      <c r="D98" s="6">
        <v>4327748</v>
      </c>
      <c r="E98" s="86"/>
    </row>
    <row r="99" spans="1:5">
      <c r="A99" s="99" t="s">
        <v>122</v>
      </c>
      <c r="B99" s="1">
        <v>92</v>
      </c>
      <c r="C99" s="6">
        <v>2297853</v>
      </c>
      <c r="D99" s="6">
        <v>2707517</v>
      </c>
      <c r="E99" s="86"/>
    </row>
    <row r="100" spans="1:5">
      <c r="A100" s="88" t="s">
        <v>123</v>
      </c>
      <c r="B100" s="1">
        <v>93</v>
      </c>
      <c r="C100" s="38">
        <f>SUM(C101:C112)</f>
        <v>217599944</v>
      </c>
      <c r="D100" s="38">
        <f>SUM(D101:D112)</f>
        <v>505648839</v>
      </c>
      <c r="E100" s="86"/>
    </row>
    <row r="101" spans="1:5">
      <c r="A101" s="99" t="s">
        <v>114</v>
      </c>
      <c r="B101" s="1">
        <v>94</v>
      </c>
      <c r="C101" s="6">
        <v>1040930</v>
      </c>
      <c r="D101" s="6">
        <v>198345</v>
      </c>
      <c r="E101" s="86"/>
    </row>
    <row r="102" spans="1:5">
      <c r="A102" s="99" t="s">
        <v>115</v>
      </c>
      <c r="B102" s="1">
        <v>95</v>
      </c>
      <c r="C102" s="6"/>
      <c r="D102" s="6"/>
      <c r="E102" s="86"/>
    </row>
    <row r="103" spans="1:5">
      <c r="A103" s="99" t="s">
        <v>116</v>
      </c>
      <c r="B103" s="1">
        <v>96</v>
      </c>
      <c r="C103" s="6">
        <v>102569327</v>
      </c>
      <c r="D103" s="6">
        <v>132095289</v>
      </c>
      <c r="E103" s="86"/>
    </row>
    <row r="104" spans="1:5">
      <c r="A104" s="99" t="s">
        <v>117</v>
      </c>
      <c r="B104" s="1">
        <v>97</v>
      </c>
      <c r="C104" s="6">
        <v>12574155</v>
      </c>
      <c r="D104" s="6">
        <v>120128249</v>
      </c>
      <c r="E104" s="86"/>
    </row>
    <row r="105" spans="1:5">
      <c r="A105" s="99" t="s">
        <v>118</v>
      </c>
      <c r="B105" s="1">
        <v>98</v>
      </c>
      <c r="C105" s="6">
        <v>80051034</v>
      </c>
      <c r="D105" s="6">
        <v>132462287</v>
      </c>
      <c r="E105" s="86"/>
    </row>
    <row r="106" spans="1:5">
      <c r="A106" s="99" t="s">
        <v>119</v>
      </c>
      <c r="B106" s="1">
        <v>99</v>
      </c>
      <c r="C106" s="6"/>
      <c r="D106" s="6"/>
      <c r="E106" s="86"/>
    </row>
    <row r="107" spans="1:5">
      <c r="A107" s="99" t="s">
        <v>120</v>
      </c>
      <c r="B107" s="1">
        <v>100</v>
      </c>
      <c r="C107" s="6"/>
      <c r="D107" s="6"/>
      <c r="E107" s="86"/>
    </row>
    <row r="108" spans="1:5">
      <c r="A108" s="99" t="s">
        <v>124</v>
      </c>
      <c r="B108" s="1">
        <v>101</v>
      </c>
      <c r="C108" s="6">
        <v>14673785</v>
      </c>
      <c r="D108" s="6">
        <v>24844025</v>
      </c>
      <c r="E108" s="86"/>
    </row>
    <row r="109" spans="1:5">
      <c r="A109" s="99" t="s">
        <v>125</v>
      </c>
      <c r="B109" s="1">
        <v>102</v>
      </c>
      <c r="C109" s="6">
        <v>5790568</v>
      </c>
      <c r="D109" s="6">
        <f>23654858</f>
        <v>23654858</v>
      </c>
      <c r="E109" s="86"/>
    </row>
    <row r="110" spans="1:5">
      <c r="A110" s="99" t="s">
        <v>126</v>
      </c>
      <c r="B110" s="1">
        <v>103</v>
      </c>
      <c r="C110" s="6"/>
      <c r="D110" s="6">
        <v>68922466</v>
      </c>
      <c r="E110" s="86"/>
    </row>
    <row r="111" spans="1:5">
      <c r="A111" s="99" t="s">
        <v>127</v>
      </c>
      <c r="B111" s="1">
        <v>104</v>
      </c>
      <c r="C111" s="6"/>
      <c r="D111" s="6"/>
      <c r="E111" s="86"/>
    </row>
    <row r="112" spans="1:5">
      <c r="A112" s="99" t="s">
        <v>128</v>
      </c>
      <c r="B112" s="1">
        <v>105</v>
      </c>
      <c r="C112" s="6">
        <v>900145</v>
      </c>
      <c r="D112" s="6">
        <f>3343319+1</f>
        <v>3343320</v>
      </c>
      <c r="E112" s="86"/>
    </row>
    <row r="113" spans="1:5">
      <c r="A113" s="88" t="s">
        <v>129</v>
      </c>
      <c r="B113" s="1">
        <v>106</v>
      </c>
      <c r="C113" s="6">
        <v>77907649</v>
      </c>
      <c r="D113" s="6">
        <v>69576233</v>
      </c>
      <c r="E113" s="86"/>
    </row>
    <row r="114" spans="1:5">
      <c r="A114" s="88" t="s">
        <v>130</v>
      </c>
      <c r="B114" s="1">
        <v>107</v>
      </c>
      <c r="C114" s="38">
        <f>C69+C86+C90+C100+C113+1</f>
        <v>3194750097</v>
      </c>
      <c r="D114" s="38">
        <f>D69+D86+D90+D100+D113</f>
        <v>3541952786</v>
      </c>
      <c r="E114" s="86"/>
    </row>
    <row r="115" spans="1:5">
      <c r="A115" s="94" t="s">
        <v>131</v>
      </c>
      <c r="B115" s="2">
        <v>108</v>
      </c>
      <c r="C115" s="7">
        <v>54802077</v>
      </c>
      <c r="D115" s="7">
        <v>54763140</v>
      </c>
      <c r="E115" s="86"/>
    </row>
    <row r="116" spans="1:5">
      <c r="A116" s="95" t="s">
        <v>133</v>
      </c>
      <c r="B116" s="97"/>
      <c r="C116" s="125"/>
      <c r="D116" s="125"/>
      <c r="E116" s="86"/>
    </row>
    <row r="117" spans="1:5">
      <c r="A117" s="98" t="s">
        <v>134</v>
      </c>
      <c r="B117" s="39"/>
      <c r="C117" s="126"/>
      <c r="D117" s="126"/>
      <c r="E117" s="86"/>
    </row>
    <row r="118" spans="1:5">
      <c r="A118" s="99" t="s">
        <v>135</v>
      </c>
      <c r="B118" s="1">
        <v>109</v>
      </c>
      <c r="C118" s="6"/>
      <c r="D118" s="6"/>
      <c r="E118" s="86"/>
    </row>
    <row r="119" spans="1:5">
      <c r="A119" s="89" t="s">
        <v>136</v>
      </c>
      <c r="B119" s="4">
        <v>110</v>
      </c>
      <c r="C119" s="7">
        <f>C85</f>
        <v>0</v>
      </c>
      <c r="D119" s="7">
        <f>D85</f>
        <v>0</v>
      </c>
      <c r="E119" s="86"/>
    </row>
    <row r="120" spans="1:5">
      <c r="A120" s="90"/>
      <c r="B120" s="91"/>
      <c r="C120" s="129"/>
      <c r="D120" s="129"/>
    </row>
    <row r="121" spans="1:5">
      <c r="A121" s="92"/>
      <c r="B121" s="93"/>
      <c r="C121" s="127">
        <f>C114-C66</f>
        <v>0</v>
      </c>
      <c r="D121" s="127">
        <f>D114-D66</f>
        <v>0.25</v>
      </c>
    </row>
    <row r="122" spans="1:5">
      <c r="D122" s="86"/>
    </row>
    <row r="123" spans="1:5">
      <c r="C123" s="86"/>
      <c r="D123" s="86"/>
    </row>
  </sheetData>
  <mergeCells count="2">
    <mergeCell ref="A1:D1"/>
    <mergeCell ref="A2:D2"/>
  </mergeCells>
  <phoneticPr fontId="5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7:C89 C84 C81 C7:D7">
      <formula1>0</formula1>
    </dataValidation>
    <dataValidation allowBlank="1" sqref="C85:C86 C8:D67 C69:C80 D69:D84 D86 C82:C83 C90:D115"/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view="pageBreakPreview" topLeftCell="A40" zoomScale="110" zoomScaleNormal="100" workbookViewId="0">
      <selection activeCell="F76" sqref="F75:F76"/>
    </sheetView>
  </sheetViews>
  <sheetFormatPr defaultColWidth="9.140625" defaultRowHeight="12.75"/>
  <cols>
    <col min="1" max="1" width="78" style="121" customWidth="1"/>
    <col min="2" max="2" width="7.85546875" style="37" customWidth="1"/>
    <col min="3" max="3" width="10.85546875" style="37" customWidth="1"/>
    <col min="4" max="5" width="11" style="37" customWidth="1"/>
    <col min="6" max="6" width="11.140625" style="37" bestFit="1" customWidth="1"/>
    <col min="7" max="7" width="12.85546875" style="37" bestFit="1" customWidth="1"/>
    <col min="8" max="9" width="10.28515625" style="37" bestFit="1" customWidth="1"/>
    <col min="10" max="16384" width="9.140625" style="37"/>
  </cols>
  <sheetData>
    <row r="1" spans="1:9" ht="15.75">
      <c r="A1" s="258" t="s">
        <v>200</v>
      </c>
      <c r="B1" s="259"/>
      <c r="C1" s="259"/>
      <c r="D1" s="259"/>
      <c r="E1" s="259"/>
      <c r="F1" s="260"/>
    </row>
    <row r="2" spans="1:9">
      <c r="A2" s="261" t="s">
        <v>299</v>
      </c>
      <c r="B2" s="262"/>
      <c r="C2" s="262"/>
      <c r="D2" s="262"/>
      <c r="E2" s="262"/>
      <c r="F2" s="263"/>
    </row>
    <row r="3" spans="1:9">
      <c r="A3" s="147" t="s">
        <v>290</v>
      </c>
      <c r="B3" s="113"/>
      <c r="C3" s="113"/>
      <c r="D3" s="113"/>
      <c r="E3" s="113"/>
      <c r="F3" s="148"/>
    </row>
    <row r="4" spans="1:9" ht="22.5">
      <c r="A4" s="42" t="s">
        <v>33</v>
      </c>
      <c r="B4" s="42" t="s">
        <v>34</v>
      </c>
      <c r="C4" s="43" t="s">
        <v>35</v>
      </c>
      <c r="D4" s="43" t="s">
        <v>35</v>
      </c>
      <c r="E4" s="43" t="s">
        <v>36</v>
      </c>
      <c r="F4" s="43" t="s">
        <v>36</v>
      </c>
    </row>
    <row r="5" spans="1:9" ht="22.5">
      <c r="A5" s="42"/>
      <c r="B5" s="42"/>
      <c r="C5" s="43" t="s">
        <v>199</v>
      </c>
      <c r="D5" s="43" t="s">
        <v>198</v>
      </c>
      <c r="E5" s="43" t="s">
        <v>199</v>
      </c>
      <c r="F5" s="43" t="s">
        <v>198</v>
      </c>
    </row>
    <row r="6" spans="1:9">
      <c r="A6" s="43">
        <v>1</v>
      </c>
      <c r="B6" s="45">
        <v>2</v>
      </c>
      <c r="C6" s="43">
        <v>3</v>
      </c>
      <c r="D6" s="43">
        <v>4</v>
      </c>
      <c r="E6" s="43">
        <v>5</v>
      </c>
      <c r="F6" s="43">
        <v>6</v>
      </c>
    </row>
    <row r="7" spans="1:9">
      <c r="A7" s="98" t="s">
        <v>137</v>
      </c>
      <c r="B7" s="3">
        <v>111</v>
      </c>
      <c r="C7" s="128">
        <f>SUM(C8:C9)</f>
        <v>316808996.85000002</v>
      </c>
      <c r="D7" s="128">
        <f>SUM(D8:D9)</f>
        <v>298178064.85000002</v>
      </c>
      <c r="E7" s="128">
        <f t="shared" ref="E7:F7" si="0">SUM(E8:E9)</f>
        <v>352561204</v>
      </c>
      <c r="F7" s="128">
        <f t="shared" si="0"/>
        <v>328368023</v>
      </c>
      <c r="G7" s="86"/>
      <c r="H7" s="86"/>
      <c r="I7" s="86"/>
    </row>
    <row r="8" spans="1:9">
      <c r="A8" s="88" t="s">
        <v>274</v>
      </c>
      <c r="B8" s="1">
        <v>112</v>
      </c>
      <c r="C8" s="6">
        <v>311827876.24000001</v>
      </c>
      <c r="D8" s="6">
        <f>+C8-15886020</f>
        <v>295941856.24000001</v>
      </c>
      <c r="E8" s="6">
        <v>340024539</v>
      </c>
      <c r="F8" s="6">
        <f>+E8-17366046</f>
        <v>322658493</v>
      </c>
      <c r="G8" s="86"/>
      <c r="H8" s="86"/>
      <c r="I8" s="86"/>
    </row>
    <row r="9" spans="1:9">
      <c r="A9" s="88" t="s">
        <v>275</v>
      </c>
      <c r="B9" s="1">
        <v>113</v>
      </c>
      <c r="C9" s="6">
        <f>137196.97+4843923.64</f>
        <v>4981120.6099999994</v>
      </c>
      <c r="D9" s="6">
        <f>+C9-2744912</f>
        <v>2236208.6099999994</v>
      </c>
      <c r="E9" s="6">
        <f>1131959+11404706</f>
        <v>12536665</v>
      </c>
      <c r="F9" s="6">
        <f>+E9-6827135</f>
        <v>5709530</v>
      </c>
      <c r="G9" s="86"/>
      <c r="H9" s="86"/>
      <c r="I9" s="86"/>
    </row>
    <row r="10" spans="1:9">
      <c r="A10" s="88" t="s">
        <v>138</v>
      </c>
      <c r="B10" s="1">
        <v>114</v>
      </c>
      <c r="C10" s="38">
        <f>C11+C12+C16+C20+C21+C22+C25+C26</f>
        <v>445157338.84999996</v>
      </c>
      <c r="D10" s="38">
        <f>D11+D12+D16+D20+D21+D22+D25+D26</f>
        <v>293876936.84999996</v>
      </c>
      <c r="E10" s="38">
        <f>E11+E12+E16+E20+E21+E22+E25+E26</f>
        <v>439491086</v>
      </c>
      <c r="F10" s="38">
        <f t="shared" ref="F10" si="1">F11+F12+F16+F20+F21+F22+F25+F26</f>
        <v>294801142</v>
      </c>
      <c r="G10" s="86"/>
      <c r="H10" s="86"/>
      <c r="I10" s="86"/>
    </row>
    <row r="11" spans="1:9">
      <c r="A11" s="88" t="s">
        <v>139</v>
      </c>
      <c r="B11" s="1">
        <v>115</v>
      </c>
      <c r="C11" s="6"/>
      <c r="D11" s="6"/>
      <c r="E11" s="6"/>
      <c r="F11" s="6"/>
      <c r="G11" s="86"/>
      <c r="H11" s="86"/>
      <c r="I11" s="86"/>
    </row>
    <row r="12" spans="1:9">
      <c r="A12" s="88" t="s">
        <v>140</v>
      </c>
      <c r="B12" s="1">
        <v>116</v>
      </c>
      <c r="C12" s="38">
        <f>SUM(C13:C15)</f>
        <v>154747525.22</v>
      </c>
      <c r="D12" s="38">
        <f>SUM(D13:D15)</f>
        <v>123299811.22</v>
      </c>
      <c r="E12" s="38">
        <f t="shared" ref="E12:F12" si="2">SUM(E13:E15)</f>
        <v>162047807</v>
      </c>
      <c r="F12" s="38">
        <f t="shared" si="2"/>
        <v>124552435</v>
      </c>
      <c r="G12" s="86"/>
      <c r="H12" s="86"/>
      <c r="I12" s="86"/>
    </row>
    <row r="13" spans="1:9">
      <c r="A13" s="146" t="s">
        <v>141</v>
      </c>
      <c r="B13" s="1">
        <v>117</v>
      </c>
      <c r="C13" s="6">
        <v>72849683.75</v>
      </c>
      <c r="D13" s="6">
        <f>+C13-9463391</f>
        <v>63386292.75</v>
      </c>
      <c r="E13" s="6">
        <v>80115307</v>
      </c>
      <c r="F13" s="6">
        <f>+E13-12492793</f>
        <v>67622514</v>
      </c>
      <c r="G13" s="86"/>
      <c r="H13" s="86"/>
      <c r="I13" s="86"/>
    </row>
    <row r="14" spans="1:9">
      <c r="A14" s="146" t="s">
        <v>142</v>
      </c>
      <c r="B14" s="1">
        <v>118</v>
      </c>
      <c r="C14" s="6">
        <v>279171.8</v>
      </c>
      <c r="D14" s="6">
        <f>+C14-13964</f>
        <v>265207.8</v>
      </c>
      <c r="E14" s="6">
        <v>387545</v>
      </c>
      <c r="F14" s="6">
        <f>+E14-5976</f>
        <v>381569</v>
      </c>
      <c r="G14" s="86"/>
      <c r="H14" s="86"/>
      <c r="I14" s="86"/>
    </row>
    <row r="15" spans="1:9">
      <c r="A15" s="146" t="s">
        <v>143</v>
      </c>
      <c r="B15" s="1">
        <v>119</v>
      </c>
      <c r="C15" s="6">
        <v>81618669.670000002</v>
      </c>
      <c r="D15" s="6">
        <f>+C15-21970359</f>
        <v>59648310.670000002</v>
      </c>
      <c r="E15" s="6">
        <v>81544955</v>
      </c>
      <c r="F15" s="6">
        <f>+E15-24996603</f>
        <v>56548352</v>
      </c>
      <c r="G15" s="86"/>
      <c r="H15" s="86"/>
      <c r="I15" s="86"/>
    </row>
    <row r="16" spans="1:9">
      <c r="A16" s="88" t="s">
        <v>144</v>
      </c>
      <c r="B16" s="1">
        <v>120</v>
      </c>
      <c r="C16" s="38">
        <f>SUM(C17:C19)</f>
        <v>102383574.24000001</v>
      </c>
      <c r="D16" s="38">
        <f>SUM(D17:D19)</f>
        <v>72887365.24000001</v>
      </c>
      <c r="E16" s="38">
        <f>SUM(E17:E19)</f>
        <v>121679941</v>
      </c>
      <c r="F16" s="38">
        <f t="shared" ref="F16" si="3">SUM(F17:F19)</f>
        <v>87946316</v>
      </c>
      <c r="G16" s="86"/>
      <c r="H16" s="86"/>
      <c r="I16" s="86"/>
    </row>
    <row r="17" spans="1:9">
      <c r="A17" s="146" t="s">
        <v>145</v>
      </c>
      <c r="B17" s="1">
        <v>121</v>
      </c>
      <c r="C17" s="6">
        <v>62068150.060000002</v>
      </c>
      <c r="D17" s="6">
        <f>+C17-18013438</f>
        <v>44054712.060000002</v>
      </c>
      <c r="E17" s="6">
        <v>72853985</v>
      </c>
      <c r="F17" s="6">
        <f>+E17-19720615</f>
        <v>53133370</v>
      </c>
      <c r="G17" s="86"/>
      <c r="H17" s="86"/>
      <c r="I17" s="86"/>
    </row>
    <row r="18" spans="1:9">
      <c r="A18" s="146" t="s">
        <v>146</v>
      </c>
      <c r="B18" s="1">
        <v>122</v>
      </c>
      <c r="C18" s="6">
        <v>25831791.25</v>
      </c>
      <c r="D18" s="6">
        <f>+C18-7603209</f>
        <v>18228582.25</v>
      </c>
      <c r="E18" s="6">
        <v>31367196</v>
      </c>
      <c r="F18" s="6">
        <f>+E18-9064700</f>
        <v>22302496</v>
      </c>
      <c r="G18" s="86"/>
      <c r="H18" s="86"/>
      <c r="I18" s="86"/>
    </row>
    <row r="19" spans="1:9">
      <c r="A19" s="146" t="s">
        <v>147</v>
      </c>
      <c r="B19" s="1">
        <v>123</v>
      </c>
      <c r="C19" s="6">
        <v>14483632.93</v>
      </c>
      <c r="D19" s="6">
        <f>+C19-3879562</f>
        <v>10604070.93</v>
      </c>
      <c r="E19" s="6">
        <v>17458760</v>
      </c>
      <c r="F19" s="6">
        <f>+E19-4948310</f>
        <v>12510450</v>
      </c>
      <c r="G19" s="86"/>
      <c r="H19" s="86"/>
      <c r="I19" s="86"/>
    </row>
    <row r="20" spans="1:9">
      <c r="A20" s="88" t="s">
        <v>148</v>
      </c>
      <c r="B20" s="1">
        <v>124</v>
      </c>
      <c r="C20" s="6">
        <v>108234927.06</v>
      </c>
      <c r="D20" s="6">
        <f>+C20-54116981</f>
        <v>54117946.060000002</v>
      </c>
      <c r="E20" s="6">
        <v>107139171</v>
      </c>
      <c r="F20" s="6">
        <f>+E20-53484484</f>
        <v>53654687</v>
      </c>
      <c r="G20" s="86"/>
      <c r="H20" s="86"/>
      <c r="I20" s="86"/>
    </row>
    <row r="21" spans="1:9">
      <c r="A21" s="88" t="s">
        <v>149</v>
      </c>
      <c r="B21" s="1">
        <v>125</v>
      </c>
      <c r="C21" s="6">
        <v>75533121.129999995</v>
      </c>
      <c r="D21" s="6">
        <f>+C21-34782958</f>
        <v>40750163.129999995</v>
      </c>
      <c r="E21" s="6">
        <v>46286221</v>
      </c>
      <c r="F21" s="6">
        <f>+E21-18075750</f>
        <v>28210471</v>
      </c>
      <c r="G21" s="86"/>
      <c r="H21" s="86"/>
      <c r="I21" s="86"/>
    </row>
    <row r="22" spans="1:9">
      <c r="A22" s="88" t="s">
        <v>150</v>
      </c>
      <c r="B22" s="1">
        <v>126</v>
      </c>
      <c r="C22" s="38">
        <f>SUM(C23:C24)</f>
        <v>34260.83</v>
      </c>
      <c r="D22" s="38">
        <f>SUM(D23:D24)</f>
        <v>-0.16999999999825377</v>
      </c>
      <c r="E22" s="38">
        <f t="shared" ref="E22:F22" si="4">SUM(E23:E24)</f>
        <v>235807</v>
      </c>
      <c r="F22" s="38">
        <f t="shared" si="4"/>
        <v>108959</v>
      </c>
      <c r="G22" s="86"/>
      <c r="H22" s="86"/>
      <c r="I22" s="86"/>
    </row>
    <row r="23" spans="1:9">
      <c r="A23" s="146" t="s">
        <v>151</v>
      </c>
      <c r="B23" s="1">
        <v>127</v>
      </c>
      <c r="C23" s="6"/>
      <c r="D23" s="6"/>
      <c r="E23" s="6"/>
      <c r="F23" s="6"/>
      <c r="G23" s="86"/>
      <c r="H23" s="86"/>
      <c r="I23" s="86"/>
    </row>
    <row r="24" spans="1:9">
      <c r="A24" s="146" t="s">
        <v>152</v>
      </c>
      <c r="B24" s="1">
        <v>128</v>
      </c>
      <c r="C24" s="6">
        <v>34260.83</v>
      </c>
      <c r="D24" s="6">
        <f>+C24-34261</f>
        <v>-0.16999999999825377</v>
      </c>
      <c r="E24" s="6">
        <v>235807</v>
      </c>
      <c r="F24" s="6">
        <f>+E24-126848</f>
        <v>108959</v>
      </c>
      <c r="G24" s="86"/>
      <c r="H24" s="86"/>
      <c r="I24" s="86"/>
    </row>
    <row r="25" spans="1:9">
      <c r="A25" s="88" t="s">
        <v>153</v>
      </c>
      <c r="B25" s="1">
        <v>129</v>
      </c>
      <c r="C25" s="6">
        <v>0</v>
      </c>
      <c r="D25" s="6"/>
      <c r="E25" s="6"/>
      <c r="F25" s="6"/>
      <c r="G25" s="86"/>
      <c r="H25" s="86"/>
      <c r="I25" s="86"/>
    </row>
    <row r="26" spans="1:9">
      <c r="A26" s="88" t="s">
        <v>154</v>
      </c>
      <c r="B26" s="1">
        <v>130</v>
      </c>
      <c r="C26" s="6">
        <v>4223930.37</v>
      </c>
      <c r="D26" s="6">
        <f>+C26-1402279</f>
        <v>2821651.37</v>
      </c>
      <c r="E26" s="6">
        <v>2102139</v>
      </c>
      <c r="F26" s="6">
        <f>+E26-1773865</f>
        <v>328274</v>
      </c>
      <c r="G26" s="86"/>
      <c r="H26" s="86"/>
      <c r="I26" s="86"/>
    </row>
    <row r="27" spans="1:9">
      <c r="A27" s="88" t="s">
        <v>155</v>
      </c>
      <c r="B27" s="1">
        <v>131</v>
      </c>
      <c r="C27" s="38">
        <f>SUM(C28:C32)</f>
        <v>3863206.86</v>
      </c>
      <c r="D27" s="38">
        <f>SUM(D28:D32)</f>
        <v>2546108.86</v>
      </c>
      <c r="E27" s="38">
        <f t="shared" ref="E27:F27" si="5">SUM(E28:E32)</f>
        <v>40619996</v>
      </c>
      <c r="F27" s="38">
        <f t="shared" si="5"/>
        <v>12272495</v>
      </c>
      <c r="G27" s="86"/>
      <c r="H27" s="86"/>
      <c r="I27" s="86"/>
    </row>
    <row r="28" spans="1:9">
      <c r="A28" s="88" t="s">
        <v>156</v>
      </c>
      <c r="B28" s="1">
        <v>132</v>
      </c>
      <c r="C28" s="6"/>
      <c r="D28" s="6"/>
      <c r="E28" s="6">
        <v>24037704</v>
      </c>
      <c r="F28" s="6">
        <f>+E28-24037704</f>
        <v>0</v>
      </c>
      <c r="G28" s="86"/>
      <c r="H28" s="86"/>
      <c r="I28" s="86"/>
    </row>
    <row r="29" spans="1:9">
      <c r="A29" s="88" t="s">
        <v>157</v>
      </c>
      <c r="B29" s="1">
        <v>133</v>
      </c>
      <c r="C29" s="6">
        <v>1549323.45</v>
      </c>
      <c r="D29" s="6">
        <f>+C29-433284</f>
        <v>1116039.45</v>
      </c>
      <c r="E29" s="6">
        <v>12307654</v>
      </c>
      <c r="F29" s="6">
        <f>+E29-2484563</f>
        <v>9823091</v>
      </c>
      <c r="G29" s="86"/>
      <c r="H29" s="86"/>
      <c r="I29" s="86"/>
    </row>
    <row r="30" spans="1:9">
      <c r="A30" s="88" t="s">
        <v>158</v>
      </c>
      <c r="B30" s="1">
        <v>134</v>
      </c>
      <c r="C30" s="6"/>
      <c r="D30" s="6"/>
      <c r="E30" s="6"/>
      <c r="F30" s="6"/>
      <c r="G30" s="86"/>
      <c r="H30" s="86"/>
      <c r="I30" s="86"/>
    </row>
    <row r="31" spans="1:9">
      <c r="A31" s="88" t="s">
        <v>159</v>
      </c>
      <c r="B31" s="1">
        <v>135</v>
      </c>
      <c r="C31" s="6">
        <v>1411832.66</v>
      </c>
      <c r="D31" s="6">
        <f>+C31-697461</f>
        <v>714371.65999999992</v>
      </c>
      <c r="E31" s="6">
        <v>3353517</v>
      </c>
      <c r="F31" s="6">
        <f>+E31-1504346</f>
        <v>1849171</v>
      </c>
      <c r="G31" s="86"/>
      <c r="H31" s="86"/>
      <c r="I31" s="86"/>
    </row>
    <row r="32" spans="1:9">
      <c r="A32" s="88" t="s">
        <v>160</v>
      </c>
      <c r="B32" s="1">
        <v>136</v>
      </c>
      <c r="C32" s="6">
        <v>902050.75</v>
      </c>
      <c r="D32" s="6">
        <f>+C32-186353</f>
        <v>715697.75</v>
      </c>
      <c r="E32" s="6">
        <v>921121</v>
      </c>
      <c r="F32" s="6">
        <f>+E32-320888</f>
        <v>600233</v>
      </c>
      <c r="G32" s="86"/>
      <c r="H32" s="86"/>
      <c r="I32" s="86"/>
    </row>
    <row r="33" spans="1:9">
      <c r="A33" s="88" t="s">
        <v>161</v>
      </c>
      <c r="B33" s="1">
        <v>137</v>
      </c>
      <c r="C33" s="38">
        <f>SUM(C34:C37)</f>
        <v>11025414.449999999</v>
      </c>
      <c r="D33" s="38">
        <f>SUM(D34:D37)</f>
        <v>6832300.4500000002</v>
      </c>
      <c r="E33" s="38">
        <f t="shared" ref="E33:F33" si="6">SUM(E34:E37)</f>
        <v>39865518</v>
      </c>
      <c r="F33" s="38">
        <f t="shared" si="6"/>
        <v>7753523</v>
      </c>
      <c r="G33" s="86"/>
      <c r="H33" s="86"/>
      <c r="I33" s="86"/>
    </row>
    <row r="34" spans="1:9">
      <c r="A34" s="88" t="s">
        <v>162</v>
      </c>
      <c r="B34" s="1">
        <v>138</v>
      </c>
      <c r="C34" s="6"/>
      <c r="D34" s="6"/>
      <c r="E34" s="6"/>
      <c r="F34" s="6"/>
      <c r="G34" s="86"/>
      <c r="H34" s="86"/>
      <c r="I34" s="86"/>
    </row>
    <row r="35" spans="1:9">
      <c r="A35" s="88" t="s">
        <v>163</v>
      </c>
      <c r="B35" s="1">
        <v>139</v>
      </c>
      <c r="C35" s="6">
        <v>10398417.25</v>
      </c>
      <c r="D35" s="6">
        <f>+C35-3884273</f>
        <v>6514144.25</v>
      </c>
      <c r="E35" s="6">
        <v>37835989</v>
      </c>
      <c r="F35" s="6">
        <f>+E35-30735443</f>
        <v>7100546</v>
      </c>
      <c r="G35" s="86"/>
      <c r="H35" s="86"/>
      <c r="I35" s="86"/>
    </row>
    <row r="36" spans="1:9">
      <c r="A36" s="88" t="s">
        <v>164</v>
      </c>
      <c r="B36" s="1">
        <v>140</v>
      </c>
      <c r="C36" s="6"/>
      <c r="D36" s="6"/>
      <c r="E36" s="6">
        <v>1671778</v>
      </c>
      <c r="F36" s="6">
        <f>+E36-1266500</f>
        <v>405278</v>
      </c>
      <c r="G36" s="86"/>
      <c r="H36" s="86"/>
      <c r="I36" s="86"/>
    </row>
    <row r="37" spans="1:9">
      <c r="A37" s="88" t="s">
        <v>165</v>
      </c>
      <c r="B37" s="1">
        <v>141</v>
      </c>
      <c r="C37" s="6">
        <v>626997.19999999995</v>
      </c>
      <c r="D37" s="6">
        <f>+C37-308841</f>
        <v>318156.19999999995</v>
      </c>
      <c r="E37" s="6">
        <v>357751</v>
      </c>
      <c r="F37" s="6">
        <f>+E37-110052</f>
        <v>247699</v>
      </c>
      <c r="G37" s="86"/>
      <c r="H37" s="86"/>
      <c r="I37" s="86"/>
    </row>
    <row r="38" spans="1:9">
      <c r="A38" s="88" t="s">
        <v>166</v>
      </c>
      <c r="B38" s="1">
        <v>142</v>
      </c>
      <c r="C38" s="6"/>
      <c r="D38" s="6"/>
      <c r="E38" s="6"/>
      <c r="F38" s="6"/>
      <c r="G38" s="86"/>
      <c r="H38" s="86"/>
      <c r="I38" s="86"/>
    </row>
    <row r="39" spans="1:9">
      <c r="A39" s="88" t="s">
        <v>167</v>
      </c>
      <c r="B39" s="1">
        <v>143</v>
      </c>
      <c r="C39" s="6"/>
      <c r="D39" s="6"/>
      <c r="E39" s="6"/>
      <c r="F39" s="6"/>
      <c r="G39" s="86"/>
      <c r="H39" s="86"/>
      <c r="I39" s="86"/>
    </row>
    <row r="40" spans="1:9">
      <c r="A40" s="88" t="s">
        <v>168</v>
      </c>
      <c r="B40" s="1">
        <v>144</v>
      </c>
      <c r="C40" s="6"/>
      <c r="D40" s="6"/>
      <c r="E40" s="6"/>
      <c r="F40" s="6"/>
      <c r="G40" s="86"/>
      <c r="H40" s="86"/>
      <c r="I40" s="86"/>
    </row>
    <row r="41" spans="1:9">
      <c r="A41" s="88" t="s">
        <v>169</v>
      </c>
      <c r="B41" s="1">
        <v>145</v>
      </c>
      <c r="C41" s="6"/>
      <c r="D41" s="6"/>
      <c r="E41" s="6"/>
      <c r="F41" s="6"/>
      <c r="G41" s="86"/>
      <c r="H41" s="86"/>
      <c r="I41" s="86"/>
    </row>
    <row r="42" spans="1:9">
      <c r="A42" s="88" t="s">
        <v>170</v>
      </c>
      <c r="B42" s="1">
        <v>146</v>
      </c>
      <c r="C42" s="38">
        <f>C7+C27+C38+C40</f>
        <v>320672203.71000004</v>
      </c>
      <c r="D42" s="38">
        <f>D7+D27+D38+D40</f>
        <v>300724173.71000004</v>
      </c>
      <c r="E42" s="38">
        <f t="shared" ref="E42:F42" si="7">E7+E27+E38+E40</f>
        <v>393181200</v>
      </c>
      <c r="F42" s="38">
        <f t="shared" si="7"/>
        <v>340640518</v>
      </c>
      <c r="G42" s="86"/>
      <c r="H42" s="86"/>
      <c r="I42" s="86"/>
    </row>
    <row r="43" spans="1:9">
      <c r="A43" s="88" t="s">
        <v>171</v>
      </c>
      <c r="B43" s="1">
        <v>147</v>
      </c>
      <c r="C43" s="38">
        <f>C10+C33+C39+C41</f>
        <v>456182753.29999995</v>
      </c>
      <c r="D43" s="38">
        <f>D10+D33+D39+D41</f>
        <v>300709237.29999995</v>
      </c>
      <c r="E43" s="38">
        <f t="shared" ref="E43:F43" si="8">E10+E33+E39+E41</f>
        <v>479356604</v>
      </c>
      <c r="F43" s="38">
        <f t="shared" si="8"/>
        <v>302554665</v>
      </c>
      <c r="G43" s="86"/>
      <c r="H43" s="86"/>
      <c r="I43" s="86"/>
    </row>
    <row r="44" spans="1:9">
      <c r="A44" s="88" t="s">
        <v>172</v>
      </c>
      <c r="B44" s="1">
        <v>148</v>
      </c>
      <c r="C44" s="38">
        <f>C42-C43</f>
        <v>-135510549.58999991</v>
      </c>
      <c r="D44" s="38">
        <f>D42-D43</f>
        <v>14936.410000085831</v>
      </c>
      <c r="E44" s="38">
        <f t="shared" ref="E44:F44" si="9">E42-E43</f>
        <v>-86175404</v>
      </c>
      <c r="F44" s="38">
        <f t="shared" si="9"/>
        <v>38085853</v>
      </c>
      <c r="G44" s="86"/>
      <c r="H44" s="86"/>
      <c r="I44" s="86"/>
    </row>
    <row r="45" spans="1:9">
      <c r="A45" s="146" t="s">
        <v>173</v>
      </c>
      <c r="B45" s="1">
        <v>149</v>
      </c>
      <c r="C45" s="38">
        <f>IF(C42&gt;C43,C42-C43,0)</f>
        <v>0</v>
      </c>
      <c r="D45" s="38">
        <f>IF(D42&gt;D43,D42-D43,0)</f>
        <v>14936.410000085831</v>
      </c>
      <c r="E45" s="38">
        <f t="shared" ref="E45:F45" si="10">IF(E42&gt;E43,E42-E43,0)</f>
        <v>0</v>
      </c>
      <c r="F45" s="38">
        <f t="shared" si="10"/>
        <v>38085853</v>
      </c>
      <c r="G45" s="86"/>
      <c r="H45" s="86"/>
      <c r="I45" s="86"/>
    </row>
    <row r="46" spans="1:9">
      <c r="A46" s="146" t="s">
        <v>174</v>
      </c>
      <c r="B46" s="1">
        <v>150</v>
      </c>
      <c r="C46" s="38">
        <f>IF(C43&gt;C42,C43-C42,0)</f>
        <v>135510549.58999991</v>
      </c>
      <c r="D46" s="38">
        <f>IF(D43&gt;D42,D43-D42,0)</f>
        <v>0</v>
      </c>
      <c r="E46" s="38">
        <f t="shared" ref="E46:F46" si="11">IF(E43&gt;E42,E43-E42,0)</f>
        <v>86175404</v>
      </c>
      <c r="F46" s="38">
        <f t="shared" si="11"/>
        <v>0</v>
      </c>
      <c r="G46" s="86"/>
      <c r="H46" s="86"/>
      <c r="I46" s="86"/>
    </row>
    <row r="47" spans="1:9">
      <c r="A47" s="88" t="s">
        <v>175</v>
      </c>
      <c r="B47" s="1">
        <v>151</v>
      </c>
      <c r="C47" s="6"/>
      <c r="D47" s="6"/>
      <c r="E47" s="6"/>
      <c r="F47" s="6"/>
      <c r="G47" s="86"/>
      <c r="H47" s="86"/>
      <c r="I47" s="86"/>
    </row>
    <row r="48" spans="1:9">
      <c r="A48" s="88" t="s">
        <v>176</v>
      </c>
      <c r="B48" s="1">
        <v>152</v>
      </c>
      <c r="C48" s="38">
        <f>C44-C47</f>
        <v>-135510549.58999991</v>
      </c>
      <c r="D48" s="38">
        <f>D44-D47</f>
        <v>14936.410000085831</v>
      </c>
      <c r="E48" s="38">
        <f t="shared" ref="E48:F48" si="12">E44-E47</f>
        <v>-86175404</v>
      </c>
      <c r="F48" s="38">
        <f t="shared" si="12"/>
        <v>38085853</v>
      </c>
      <c r="G48" s="86"/>
      <c r="H48" s="86"/>
      <c r="I48" s="86"/>
    </row>
    <row r="49" spans="1:9">
      <c r="A49" s="146" t="s">
        <v>177</v>
      </c>
      <c r="B49" s="1">
        <v>153</v>
      </c>
      <c r="C49" s="38">
        <f>IF(C48&gt;0,C48,0)</f>
        <v>0</v>
      </c>
      <c r="D49" s="38">
        <f>IF(D48&gt;0,D48,0)</f>
        <v>14936.410000085831</v>
      </c>
      <c r="E49" s="38">
        <f t="shared" ref="E49:F49" si="13">IF(E48&gt;0,E48,0)</f>
        <v>0</v>
      </c>
      <c r="F49" s="38">
        <f t="shared" si="13"/>
        <v>38085853</v>
      </c>
      <c r="G49" s="86"/>
      <c r="H49" s="86"/>
      <c r="I49" s="86"/>
    </row>
    <row r="50" spans="1:9">
      <c r="A50" s="122" t="s">
        <v>178</v>
      </c>
      <c r="B50" s="2">
        <v>154</v>
      </c>
      <c r="C50" s="44">
        <f>IF(C48&lt;0,-C48,0)</f>
        <v>135510549.58999991</v>
      </c>
      <c r="D50" s="44">
        <f>IF(D48&lt;0,-D48,0)</f>
        <v>0</v>
      </c>
      <c r="E50" s="44">
        <f t="shared" ref="E50:F50" si="14">IF(E48&lt;0,-E48,0)</f>
        <v>86175404</v>
      </c>
      <c r="F50" s="44">
        <f t="shared" si="14"/>
        <v>0</v>
      </c>
      <c r="G50" s="86"/>
      <c r="H50" s="86"/>
      <c r="I50" s="86"/>
    </row>
    <row r="51" spans="1:9">
      <c r="A51" s="95" t="s">
        <v>179</v>
      </c>
      <c r="B51" s="96"/>
      <c r="C51" s="96"/>
      <c r="D51" s="96"/>
      <c r="E51" s="130"/>
      <c r="F51" s="149"/>
      <c r="G51" s="86"/>
      <c r="H51" s="86"/>
      <c r="I51" s="86"/>
    </row>
    <row r="52" spans="1:9">
      <c r="A52" s="98" t="s">
        <v>180</v>
      </c>
      <c r="B52" s="39"/>
      <c r="C52" s="39"/>
      <c r="D52" s="39"/>
      <c r="E52" s="39"/>
      <c r="F52" s="150"/>
      <c r="G52" s="86"/>
      <c r="H52" s="86"/>
      <c r="I52" s="86"/>
    </row>
    <row r="53" spans="1:9">
      <c r="A53" s="88" t="s">
        <v>181</v>
      </c>
      <c r="B53" s="1">
        <v>155</v>
      </c>
      <c r="C53" s="6">
        <f>+C48</f>
        <v>-135510549.58999991</v>
      </c>
      <c r="D53" s="6">
        <f>+D48</f>
        <v>14936.410000085831</v>
      </c>
      <c r="E53" s="6">
        <f>+E48</f>
        <v>-86175404</v>
      </c>
      <c r="F53" s="6">
        <f>+F48</f>
        <v>38085853</v>
      </c>
      <c r="G53" s="86"/>
      <c r="H53" s="86"/>
      <c r="I53" s="86"/>
    </row>
    <row r="54" spans="1:9">
      <c r="A54" s="88" t="s">
        <v>182</v>
      </c>
      <c r="B54" s="1">
        <v>156</v>
      </c>
      <c r="C54" s="7"/>
      <c r="D54" s="7"/>
      <c r="E54" s="7"/>
      <c r="F54" s="7"/>
      <c r="G54" s="86"/>
      <c r="H54" s="86"/>
      <c r="I54" s="86"/>
    </row>
    <row r="55" spans="1:9">
      <c r="A55" s="95" t="s">
        <v>183</v>
      </c>
      <c r="B55" s="96"/>
      <c r="C55" s="96"/>
      <c r="D55" s="96"/>
      <c r="E55" s="96"/>
      <c r="F55" s="149"/>
      <c r="G55" s="86"/>
      <c r="H55" s="86"/>
      <c r="I55" s="86"/>
    </row>
    <row r="56" spans="1:9">
      <c r="A56" s="98" t="s">
        <v>184</v>
      </c>
      <c r="B56" s="8">
        <v>157</v>
      </c>
      <c r="C56" s="5">
        <f>C48</f>
        <v>-135510549.58999991</v>
      </c>
      <c r="D56" s="5">
        <f>D48</f>
        <v>14936.410000085831</v>
      </c>
      <c r="E56" s="5">
        <f>E48</f>
        <v>-86175404</v>
      </c>
      <c r="F56" s="5">
        <f>F48</f>
        <v>38085853</v>
      </c>
      <c r="G56" s="86"/>
      <c r="H56" s="86"/>
      <c r="I56" s="86"/>
    </row>
    <row r="57" spans="1:9">
      <c r="A57" s="88" t="s">
        <v>185</v>
      </c>
      <c r="B57" s="1">
        <v>158</v>
      </c>
      <c r="C57" s="38">
        <f>SUM(C58:C64)</f>
        <v>-87000</v>
      </c>
      <c r="D57" s="38">
        <f>SUM(D58:D64)</f>
        <v>-87000</v>
      </c>
      <c r="E57" s="38">
        <f>SUM(E58:E64)</f>
        <v>2048322</v>
      </c>
      <c r="F57" s="38">
        <f>SUM(F58:F64)</f>
        <v>2048322</v>
      </c>
      <c r="G57" s="86"/>
      <c r="H57" s="86"/>
      <c r="I57" s="86"/>
    </row>
    <row r="58" spans="1:9">
      <c r="A58" s="88" t="s">
        <v>186</v>
      </c>
      <c r="B58" s="1">
        <v>159</v>
      </c>
      <c r="C58" s="6"/>
      <c r="D58" s="6"/>
      <c r="E58" s="6"/>
      <c r="F58" s="6"/>
      <c r="G58" s="86"/>
      <c r="H58" s="86"/>
      <c r="I58" s="86"/>
    </row>
    <row r="59" spans="1:9">
      <c r="A59" s="88" t="s">
        <v>187</v>
      </c>
      <c r="B59" s="1">
        <v>160</v>
      </c>
      <c r="C59" s="6"/>
      <c r="D59" s="6"/>
      <c r="E59" s="6"/>
      <c r="F59" s="6"/>
      <c r="G59" s="86"/>
      <c r="H59" s="86"/>
      <c r="I59" s="86"/>
    </row>
    <row r="60" spans="1:9">
      <c r="A60" s="88" t="s">
        <v>188</v>
      </c>
      <c r="B60" s="1">
        <v>161</v>
      </c>
      <c r="C60" s="6">
        <v>-87000</v>
      </c>
      <c r="D60" s="6">
        <v>-87000</v>
      </c>
      <c r="E60" s="6">
        <v>2048322</v>
      </c>
      <c r="F60" s="6">
        <v>2048322</v>
      </c>
      <c r="G60" s="86"/>
      <c r="H60" s="86"/>
      <c r="I60" s="86"/>
    </row>
    <row r="61" spans="1:9">
      <c r="A61" s="88" t="s">
        <v>189</v>
      </c>
      <c r="B61" s="1">
        <v>162</v>
      </c>
      <c r="C61" s="6"/>
      <c r="D61" s="6"/>
      <c r="E61" s="6"/>
      <c r="F61" s="6"/>
      <c r="G61" s="86"/>
      <c r="H61" s="86"/>
      <c r="I61" s="86"/>
    </row>
    <row r="62" spans="1:9">
      <c r="A62" s="88" t="s">
        <v>190</v>
      </c>
      <c r="B62" s="1">
        <v>163</v>
      </c>
      <c r="C62" s="6"/>
      <c r="D62" s="6"/>
      <c r="E62" s="6"/>
      <c r="F62" s="6"/>
      <c r="G62" s="86"/>
      <c r="H62" s="86"/>
      <c r="I62" s="86"/>
    </row>
    <row r="63" spans="1:9">
      <c r="A63" s="88" t="s">
        <v>191</v>
      </c>
      <c r="B63" s="1">
        <v>164</v>
      </c>
      <c r="C63" s="6"/>
      <c r="D63" s="6"/>
      <c r="E63" s="6"/>
      <c r="F63" s="6"/>
      <c r="G63" s="86"/>
      <c r="H63" s="86"/>
      <c r="I63" s="86"/>
    </row>
    <row r="64" spans="1:9">
      <c r="A64" s="88" t="s">
        <v>192</v>
      </c>
      <c r="B64" s="1">
        <v>165</v>
      </c>
      <c r="C64" s="6"/>
      <c r="D64" s="6"/>
      <c r="E64" s="6"/>
      <c r="F64" s="6"/>
      <c r="G64" s="86"/>
      <c r="H64" s="86"/>
      <c r="I64" s="86"/>
    </row>
    <row r="65" spans="1:9">
      <c r="A65" s="88" t="s">
        <v>193</v>
      </c>
      <c r="B65" s="1">
        <v>166</v>
      </c>
      <c r="C65" s="6">
        <v>-17400</v>
      </c>
      <c r="D65" s="6">
        <v>-17400</v>
      </c>
      <c r="E65" s="6">
        <f>+E60*0.2</f>
        <v>409664.4</v>
      </c>
      <c r="F65" s="6">
        <f>+F60*0.2</f>
        <v>409664.4</v>
      </c>
      <c r="G65" s="86"/>
      <c r="H65" s="86"/>
      <c r="I65" s="86"/>
    </row>
    <row r="66" spans="1:9">
      <c r="A66" s="88" t="s">
        <v>194</v>
      </c>
      <c r="B66" s="1">
        <v>167</v>
      </c>
      <c r="C66" s="38">
        <f>C57-C65</f>
        <v>-69600</v>
      </c>
      <c r="D66" s="38">
        <f>D57-D65</f>
        <v>-69600</v>
      </c>
      <c r="E66" s="38">
        <f t="shared" ref="E66" si="15">E57-E65</f>
        <v>1638657.6</v>
      </c>
      <c r="F66" s="38">
        <f>F57-F65</f>
        <v>1638657.6</v>
      </c>
      <c r="G66" s="86"/>
      <c r="H66" s="86"/>
      <c r="I66" s="86"/>
    </row>
    <row r="67" spans="1:9">
      <c r="A67" s="88" t="s">
        <v>195</v>
      </c>
      <c r="B67" s="1">
        <v>168</v>
      </c>
      <c r="C67" s="44">
        <f>C56+C66</f>
        <v>-135580149.58999991</v>
      </c>
      <c r="D67" s="44">
        <f>D56+D66</f>
        <v>-54663.589999914169</v>
      </c>
      <c r="E67" s="44">
        <f>E56+E66</f>
        <v>-84536746.400000006</v>
      </c>
      <c r="F67" s="44">
        <f>F56+F66</f>
        <v>39724510.600000001</v>
      </c>
      <c r="G67" s="86"/>
      <c r="H67" s="86"/>
      <c r="I67" s="86"/>
    </row>
    <row r="68" spans="1:9" ht="24">
      <c r="A68" s="109" t="s">
        <v>196</v>
      </c>
      <c r="B68" s="110"/>
      <c r="C68" s="110"/>
      <c r="D68" s="110"/>
      <c r="E68" s="110"/>
      <c r="F68" s="151"/>
      <c r="G68" s="86"/>
      <c r="H68" s="86"/>
      <c r="I68" s="86"/>
    </row>
    <row r="69" spans="1:9">
      <c r="A69" s="111" t="s">
        <v>197</v>
      </c>
      <c r="B69" s="112"/>
      <c r="C69" s="112"/>
      <c r="D69" s="112"/>
      <c r="E69" s="112"/>
      <c r="F69" s="152"/>
      <c r="G69" s="86"/>
      <c r="H69" s="86"/>
      <c r="I69" s="86"/>
    </row>
    <row r="70" spans="1:9">
      <c r="A70" s="88" t="s">
        <v>181</v>
      </c>
      <c r="B70" s="1">
        <v>169</v>
      </c>
      <c r="C70" s="6"/>
      <c r="D70" s="6"/>
      <c r="E70" s="6"/>
      <c r="F70" s="6"/>
      <c r="G70" s="86"/>
      <c r="H70" s="86"/>
      <c r="I70" s="86"/>
    </row>
    <row r="71" spans="1:9">
      <c r="A71" s="100" t="s">
        <v>182</v>
      </c>
      <c r="B71" s="4">
        <v>170</v>
      </c>
      <c r="C71" s="7"/>
      <c r="D71" s="7"/>
      <c r="E71" s="7"/>
      <c r="F71" s="7"/>
      <c r="G71" s="86"/>
      <c r="H71" s="86"/>
      <c r="I71" s="86"/>
    </row>
    <row r="75" spans="1:9">
      <c r="E75" s="86"/>
      <c r="F75" s="86"/>
    </row>
  </sheetData>
  <mergeCells count="2">
    <mergeCell ref="A1:F1"/>
    <mergeCell ref="A2:F2"/>
  </mergeCells>
  <phoneticPr fontId="5" type="noConversion"/>
  <dataValidations count="2">
    <dataValidation allowBlank="1" sqref="C70:F71 C58:F65 C53:F54 C7:F50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8"/>
  <sheetViews>
    <sheetView view="pageBreakPreview" topLeftCell="A19" zoomScale="110" zoomScaleNormal="100" workbookViewId="0">
      <selection activeCell="D55" sqref="D55"/>
    </sheetView>
  </sheetViews>
  <sheetFormatPr defaultColWidth="9.140625" defaultRowHeight="12.75"/>
  <cols>
    <col min="1" max="1" width="62.5703125" style="121" customWidth="1"/>
    <col min="2" max="2" width="9.140625" style="37"/>
    <col min="3" max="3" width="13.5703125" style="37" bestFit="1" customWidth="1"/>
    <col min="4" max="4" width="12.85546875" style="37" bestFit="1" customWidth="1"/>
    <col min="5" max="5" width="9.140625" style="37"/>
    <col min="6" max="6" width="44.85546875" style="37" bestFit="1" customWidth="1"/>
    <col min="7" max="9" width="9.140625" style="37"/>
    <col min="10" max="10" width="41.85546875" style="37" bestFit="1" customWidth="1"/>
    <col min="11" max="12" width="9.140625" style="37"/>
    <col min="13" max="13" width="8.85546875" style="37" customWidth="1"/>
    <col min="14" max="16384" width="9.140625" style="37"/>
  </cols>
  <sheetData>
    <row r="1" spans="1:13" ht="15.75">
      <c r="A1" s="264" t="s">
        <v>271</v>
      </c>
      <c r="B1" s="264"/>
      <c r="C1" s="264"/>
      <c r="D1" s="264"/>
    </row>
    <row r="2" spans="1:13">
      <c r="A2" s="265" t="s">
        <v>299</v>
      </c>
      <c r="B2" s="265"/>
      <c r="C2" s="265"/>
      <c r="D2" s="265"/>
    </row>
    <row r="3" spans="1:13">
      <c r="A3" s="116" t="s">
        <v>290</v>
      </c>
      <c r="B3" s="117"/>
      <c r="C3" s="117"/>
      <c r="D3" s="118"/>
      <c r="F3" s="139"/>
      <c r="G3" s="139"/>
      <c r="H3" s="139"/>
    </row>
    <row r="4" spans="1:13">
      <c r="A4" s="46" t="s">
        <v>33</v>
      </c>
      <c r="B4" s="46" t="s">
        <v>34</v>
      </c>
      <c r="C4" s="47" t="s">
        <v>35</v>
      </c>
      <c r="D4" s="47" t="s">
        <v>36</v>
      </c>
      <c r="F4" s="139"/>
      <c r="G4" s="133"/>
      <c r="H4" s="139"/>
      <c r="J4" s="139"/>
      <c r="K4" s="139"/>
      <c r="L4" s="139"/>
      <c r="M4" s="139"/>
    </row>
    <row r="5" spans="1:13">
      <c r="A5" s="47">
        <v>1</v>
      </c>
      <c r="B5" s="48">
        <v>2</v>
      </c>
      <c r="C5" s="49" t="s">
        <v>4</v>
      </c>
      <c r="D5" s="49" t="s">
        <v>5</v>
      </c>
      <c r="F5" s="139"/>
      <c r="G5" s="133"/>
      <c r="H5" s="139"/>
      <c r="J5" s="139"/>
      <c r="K5" s="139"/>
      <c r="L5" s="139"/>
      <c r="M5" s="139"/>
    </row>
    <row r="6" spans="1:13">
      <c r="A6" s="95" t="s">
        <v>201</v>
      </c>
      <c r="B6" s="114"/>
      <c r="C6" s="114"/>
      <c r="D6" s="115"/>
      <c r="F6" s="142"/>
      <c r="G6" s="133"/>
      <c r="H6" s="138"/>
      <c r="J6" s="136"/>
      <c r="K6" s="137"/>
      <c r="L6" s="139"/>
      <c r="M6" s="139"/>
    </row>
    <row r="7" spans="1:13">
      <c r="A7" s="99" t="s">
        <v>202</v>
      </c>
      <c r="B7" s="1">
        <v>1</v>
      </c>
      <c r="C7" s="6">
        <v>-135510550</v>
      </c>
      <c r="D7" s="6">
        <v>-86175404</v>
      </c>
      <c r="E7" s="86"/>
      <c r="F7" s="142"/>
      <c r="G7" s="133"/>
      <c r="H7" s="133"/>
      <c r="J7" s="136"/>
      <c r="K7" s="137"/>
      <c r="L7" s="139"/>
      <c r="M7" s="139"/>
    </row>
    <row r="8" spans="1:13">
      <c r="A8" s="99" t="s">
        <v>203</v>
      </c>
      <c r="B8" s="1">
        <v>2</v>
      </c>
      <c r="C8" s="6">
        <v>108234927</v>
      </c>
      <c r="D8" s="6">
        <v>107139171</v>
      </c>
      <c r="E8" s="86"/>
      <c r="F8" s="142"/>
      <c r="G8" s="133"/>
      <c r="H8" s="133"/>
      <c r="J8" s="136"/>
      <c r="K8" s="137"/>
      <c r="L8" s="139"/>
      <c r="M8" s="139"/>
    </row>
    <row r="9" spans="1:13">
      <c r="A9" s="99" t="s">
        <v>204</v>
      </c>
      <c r="B9" s="1">
        <v>3</v>
      </c>
      <c r="C9" s="6">
        <v>160752915</v>
      </c>
      <c r="D9" s="6">
        <f>258519808-68922466</f>
        <v>189597342</v>
      </c>
      <c r="E9" s="86"/>
      <c r="F9" s="142"/>
      <c r="G9" s="133"/>
      <c r="H9" s="133"/>
      <c r="J9" s="136"/>
      <c r="K9" s="137"/>
      <c r="L9" s="139"/>
      <c r="M9" s="139"/>
    </row>
    <row r="10" spans="1:13">
      <c r="A10" s="99" t="s">
        <v>205</v>
      </c>
      <c r="B10" s="1">
        <v>4</v>
      </c>
      <c r="C10" s="6"/>
      <c r="D10" s="6"/>
      <c r="E10" s="86"/>
      <c r="F10" s="142"/>
      <c r="G10" s="133"/>
      <c r="H10" s="133"/>
      <c r="J10" s="136"/>
      <c r="K10" s="137"/>
      <c r="L10" s="139"/>
      <c r="M10" s="139"/>
    </row>
    <row r="11" spans="1:13">
      <c r="A11" s="99" t="s">
        <v>206</v>
      </c>
      <c r="B11" s="1">
        <v>5</v>
      </c>
      <c r="C11" s="6"/>
      <c r="D11" s="6"/>
      <c r="E11" s="86"/>
      <c r="F11" s="142"/>
      <c r="G11" s="133"/>
      <c r="H11" s="133"/>
      <c r="J11" s="136"/>
      <c r="K11" s="137"/>
      <c r="L11" s="139"/>
      <c r="M11" s="139"/>
    </row>
    <row r="12" spans="1:13">
      <c r="A12" s="99" t="s">
        <v>207</v>
      </c>
      <c r="B12" s="1">
        <v>6</v>
      </c>
      <c r="C12" s="6"/>
      <c r="D12" s="6">
        <v>52997</v>
      </c>
      <c r="E12" s="86"/>
      <c r="F12" s="142"/>
      <c r="G12" s="133"/>
      <c r="H12" s="133"/>
      <c r="J12" s="136"/>
      <c r="K12" s="137"/>
      <c r="L12" s="139"/>
      <c r="M12" s="139"/>
    </row>
    <row r="13" spans="1:13">
      <c r="A13" s="88" t="s">
        <v>208</v>
      </c>
      <c r="B13" s="1">
        <v>7</v>
      </c>
      <c r="C13" s="38">
        <f>SUM(C7:C12)+1</f>
        <v>133477293</v>
      </c>
      <c r="D13" s="38">
        <f>SUM(D7:D12)</f>
        <v>210614106</v>
      </c>
      <c r="E13" s="86"/>
      <c r="F13" s="142"/>
      <c r="G13" s="133"/>
      <c r="H13" s="133"/>
      <c r="J13" s="136"/>
      <c r="K13" s="137"/>
      <c r="L13" s="139"/>
      <c r="M13" s="139"/>
    </row>
    <row r="14" spans="1:13">
      <c r="A14" s="99" t="s">
        <v>209</v>
      </c>
      <c r="B14" s="1">
        <v>8</v>
      </c>
      <c r="C14" s="6"/>
      <c r="D14" s="6"/>
      <c r="E14" s="86"/>
      <c r="F14" s="142"/>
      <c r="G14" s="133"/>
      <c r="H14" s="133"/>
      <c r="J14" s="136"/>
      <c r="K14" s="137"/>
      <c r="L14" s="139"/>
      <c r="M14" s="139"/>
    </row>
    <row r="15" spans="1:13">
      <c r="A15" s="99" t="s">
        <v>210</v>
      </c>
      <c r="B15" s="1">
        <v>9</v>
      </c>
      <c r="C15" s="6">
        <v>105980500</v>
      </c>
      <c r="D15" s="6">
        <v>27609556</v>
      </c>
      <c r="E15" s="86"/>
      <c r="F15" s="142"/>
      <c r="G15" s="133"/>
      <c r="H15" s="133"/>
      <c r="J15" s="136"/>
      <c r="K15" s="137"/>
      <c r="L15" s="139"/>
      <c r="M15" s="139"/>
    </row>
    <row r="16" spans="1:13">
      <c r="A16" s="99" t="s">
        <v>211</v>
      </c>
      <c r="B16" s="1">
        <v>10</v>
      </c>
      <c r="C16" s="6">
        <v>3131346</v>
      </c>
      <c r="D16" s="6">
        <v>2638110</v>
      </c>
      <c r="E16" s="86"/>
      <c r="F16" s="142"/>
      <c r="G16" s="133"/>
      <c r="H16" s="133"/>
      <c r="J16" s="136"/>
      <c r="K16" s="137"/>
      <c r="L16" s="139"/>
      <c r="M16" s="139"/>
    </row>
    <row r="17" spans="1:13">
      <c r="A17" s="99" t="s">
        <v>212</v>
      </c>
      <c r="B17" s="1">
        <v>11</v>
      </c>
      <c r="C17" s="6">
        <v>80931007</v>
      </c>
      <c r="D17" s="6">
        <v>58217939</v>
      </c>
      <c r="E17" s="86"/>
      <c r="F17" s="142"/>
      <c r="G17" s="133"/>
      <c r="H17" s="133"/>
      <c r="J17" s="134"/>
      <c r="K17" s="137"/>
      <c r="L17" s="139"/>
      <c r="M17" s="139"/>
    </row>
    <row r="18" spans="1:13">
      <c r="A18" s="88" t="s">
        <v>213</v>
      </c>
      <c r="B18" s="1">
        <v>12</v>
      </c>
      <c r="C18" s="38">
        <f>SUM(C14:C17)-1</f>
        <v>190042852</v>
      </c>
      <c r="D18" s="38">
        <f>SUM(D14:D17)</f>
        <v>88465605</v>
      </c>
      <c r="E18" s="86"/>
      <c r="F18" s="142"/>
      <c r="G18" s="133"/>
      <c r="H18" s="133"/>
      <c r="J18" s="134"/>
      <c r="K18" s="137"/>
      <c r="L18" s="139"/>
      <c r="M18" s="139"/>
    </row>
    <row r="19" spans="1:13">
      <c r="A19" s="88" t="s">
        <v>214</v>
      </c>
      <c r="B19" s="1">
        <v>13</v>
      </c>
      <c r="C19" s="38">
        <f>IF(C13&gt;C18,C13-C18,0)</f>
        <v>0</v>
      </c>
      <c r="D19" s="38">
        <f>IF(D13&gt;D18,D13-D18,0)</f>
        <v>122148501</v>
      </c>
      <c r="E19" s="86"/>
      <c r="F19" s="142"/>
      <c r="G19" s="133"/>
      <c r="H19" s="133"/>
      <c r="J19" s="134"/>
      <c r="K19" s="137"/>
      <c r="L19" s="139"/>
      <c r="M19" s="139"/>
    </row>
    <row r="20" spans="1:13">
      <c r="A20" s="88" t="s">
        <v>215</v>
      </c>
      <c r="B20" s="1">
        <v>14</v>
      </c>
      <c r="C20" s="38">
        <f>IF(C18&gt;C13,C18-C13,0)</f>
        <v>56565559</v>
      </c>
      <c r="D20" s="38">
        <f>IF(D18&gt;D13,D18-D13,0)</f>
        <v>0</v>
      </c>
      <c r="E20" s="86"/>
      <c r="F20" s="142"/>
      <c r="G20" s="133"/>
      <c r="H20" s="133"/>
      <c r="J20" s="134"/>
      <c r="K20" s="137"/>
      <c r="L20" s="139"/>
      <c r="M20" s="139"/>
    </row>
    <row r="21" spans="1:13">
      <c r="A21" s="95" t="s">
        <v>216</v>
      </c>
      <c r="B21" s="114"/>
      <c r="C21" s="114"/>
      <c r="D21" s="115"/>
      <c r="E21" s="86"/>
      <c r="F21" s="142"/>
      <c r="G21" s="133"/>
      <c r="H21" s="133"/>
      <c r="J21" s="136"/>
      <c r="K21" s="137"/>
      <c r="L21" s="139"/>
      <c r="M21" s="139"/>
    </row>
    <row r="22" spans="1:13">
      <c r="A22" s="99" t="s">
        <v>217</v>
      </c>
      <c r="B22" s="1">
        <v>15</v>
      </c>
      <c r="C22" s="6"/>
      <c r="D22" s="6"/>
      <c r="E22" s="86"/>
      <c r="F22" s="142"/>
      <c r="G22" s="133"/>
      <c r="H22" s="133"/>
      <c r="J22" s="134"/>
      <c r="K22" s="137"/>
      <c r="L22" s="139"/>
      <c r="M22" s="139"/>
    </row>
    <row r="23" spans="1:13">
      <c r="A23" s="99" t="s">
        <v>218</v>
      </c>
      <c r="B23" s="1">
        <v>16</v>
      </c>
      <c r="C23" s="6"/>
      <c r="D23" s="6"/>
      <c r="E23" s="86"/>
      <c r="F23" s="142"/>
      <c r="G23" s="133"/>
      <c r="H23" s="133"/>
      <c r="J23" s="140"/>
      <c r="K23" s="141"/>
      <c r="L23" s="139"/>
      <c r="M23" s="139"/>
    </row>
    <row r="24" spans="1:13">
      <c r="A24" s="99" t="s">
        <v>219</v>
      </c>
      <c r="B24" s="1">
        <v>17</v>
      </c>
      <c r="C24" s="6"/>
      <c r="D24" s="6"/>
      <c r="E24" s="86"/>
      <c r="F24" s="142"/>
      <c r="G24" s="133"/>
      <c r="H24" s="133"/>
      <c r="J24" s="140"/>
      <c r="K24" s="137"/>
      <c r="L24" s="139"/>
      <c r="M24" s="139"/>
    </row>
    <row r="25" spans="1:13">
      <c r="A25" s="99" t="s">
        <v>220</v>
      </c>
      <c r="B25" s="1">
        <v>18</v>
      </c>
      <c r="C25" s="6"/>
      <c r="D25" s="6"/>
      <c r="E25" s="86"/>
      <c r="F25" s="142"/>
      <c r="G25" s="133"/>
      <c r="H25" s="133"/>
      <c r="J25" s="140"/>
      <c r="K25" s="141"/>
      <c r="L25" s="139"/>
      <c r="M25" s="139"/>
    </row>
    <row r="26" spans="1:13">
      <c r="A26" s="99" t="s">
        <v>221</v>
      </c>
      <c r="B26" s="1">
        <v>19</v>
      </c>
      <c r="C26" s="6"/>
      <c r="D26" s="6"/>
      <c r="E26" s="86"/>
      <c r="F26" s="142"/>
      <c r="G26" s="133"/>
      <c r="H26" s="133"/>
      <c r="J26" s="140"/>
      <c r="K26" s="137"/>
      <c r="L26" s="139"/>
      <c r="M26" s="139"/>
    </row>
    <row r="27" spans="1:13">
      <c r="A27" s="88" t="s">
        <v>222</v>
      </c>
      <c r="B27" s="1">
        <v>20</v>
      </c>
      <c r="C27" s="38">
        <f>SUM(C22:C26)</f>
        <v>0</v>
      </c>
      <c r="D27" s="38">
        <f>SUM(D22:D26)</f>
        <v>0</v>
      </c>
      <c r="E27" s="86"/>
      <c r="F27" s="142"/>
      <c r="G27" s="133"/>
      <c r="H27" s="133"/>
      <c r="J27" s="140"/>
      <c r="K27" s="141"/>
      <c r="L27" s="139"/>
      <c r="M27" s="139"/>
    </row>
    <row r="28" spans="1:13">
      <c r="A28" s="99" t="s">
        <v>223</v>
      </c>
      <c r="B28" s="1">
        <v>21</v>
      </c>
      <c r="C28" s="6">
        <v>252306545</v>
      </c>
      <c r="D28" s="6">
        <v>221994698</v>
      </c>
      <c r="E28" s="86"/>
      <c r="F28" s="132"/>
      <c r="G28" s="133"/>
      <c r="H28" s="133"/>
      <c r="J28" s="140"/>
      <c r="K28" s="137"/>
      <c r="L28" s="139"/>
      <c r="M28" s="139"/>
    </row>
    <row r="29" spans="1:13">
      <c r="A29" s="99" t="s">
        <v>224</v>
      </c>
      <c r="B29" s="1">
        <v>22</v>
      </c>
      <c r="C29" s="6"/>
      <c r="D29" s="6"/>
      <c r="E29" s="86"/>
      <c r="F29" s="142"/>
      <c r="G29" s="133"/>
      <c r="H29" s="133"/>
      <c r="J29" s="140"/>
      <c r="K29" s="137"/>
      <c r="L29" s="139"/>
      <c r="M29" s="139"/>
    </row>
    <row r="30" spans="1:13">
      <c r="A30" s="99" t="s">
        <v>225</v>
      </c>
      <c r="B30" s="1">
        <v>23</v>
      </c>
      <c r="C30" s="6"/>
      <c r="D30" s="6">
        <v>175702232</v>
      </c>
      <c r="E30" s="86"/>
      <c r="F30" s="142"/>
      <c r="G30" s="133"/>
      <c r="H30" s="133"/>
      <c r="J30" s="140"/>
      <c r="K30" s="137"/>
      <c r="L30" s="139"/>
      <c r="M30" s="139"/>
    </row>
    <row r="31" spans="1:13">
      <c r="A31" s="88" t="s">
        <v>226</v>
      </c>
      <c r="B31" s="1">
        <v>24</v>
      </c>
      <c r="C31" s="38">
        <f>SUM(C28:C30)</f>
        <v>252306545</v>
      </c>
      <c r="D31" s="38">
        <f>SUM(D28:D30)</f>
        <v>397696930</v>
      </c>
      <c r="E31" s="86"/>
      <c r="F31" s="142"/>
      <c r="G31" s="133"/>
      <c r="H31" s="133"/>
      <c r="J31" s="140"/>
      <c r="K31" s="137"/>
      <c r="L31" s="139"/>
      <c r="M31" s="139"/>
    </row>
    <row r="32" spans="1:13">
      <c r="A32" s="88" t="s">
        <v>227</v>
      </c>
      <c r="B32" s="1">
        <v>25</v>
      </c>
      <c r="C32" s="38">
        <f>IF(C27&gt;C31,C27-C31,0)</f>
        <v>0</v>
      </c>
      <c r="D32" s="38">
        <f>IF(D27&gt;D31,D27-D31,0)</f>
        <v>0</v>
      </c>
      <c r="E32" s="86"/>
      <c r="F32" s="142"/>
      <c r="G32" s="133"/>
      <c r="H32" s="133"/>
      <c r="J32" s="140"/>
      <c r="K32" s="141"/>
      <c r="L32" s="139"/>
      <c r="M32" s="139"/>
    </row>
    <row r="33" spans="1:13">
      <c r="A33" s="88" t="s">
        <v>228</v>
      </c>
      <c r="B33" s="1">
        <v>26</v>
      </c>
      <c r="C33" s="38">
        <f>IF(C31&gt;C27,C31-C27,0)</f>
        <v>252306545</v>
      </c>
      <c r="D33" s="38">
        <f>IF(D31&gt;D27,D31-D27,0)</f>
        <v>397696930</v>
      </c>
      <c r="E33" s="86"/>
      <c r="F33" s="142"/>
      <c r="G33" s="133"/>
      <c r="H33" s="133"/>
      <c r="J33" s="139"/>
      <c r="K33" s="139"/>
      <c r="L33" s="139"/>
      <c r="M33" s="139"/>
    </row>
    <row r="34" spans="1:13">
      <c r="A34" s="95" t="s">
        <v>229</v>
      </c>
      <c r="B34" s="114"/>
      <c r="C34" s="114"/>
      <c r="D34" s="115"/>
      <c r="E34" s="86"/>
      <c r="F34" s="142"/>
      <c r="G34" s="133"/>
      <c r="H34" s="133"/>
      <c r="J34" s="139"/>
      <c r="K34" s="139"/>
      <c r="L34" s="139"/>
      <c r="M34" s="139"/>
    </row>
    <row r="35" spans="1:13">
      <c r="A35" s="99" t="s">
        <v>230</v>
      </c>
      <c r="B35" s="1">
        <v>27</v>
      </c>
      <c r="C35" s="6">
        <v>284000</v>
      </c>
      <c r="D35" s="184"/>
      <c r="E35" s="86"/>
      <c r="F35" s="142"/>
      <c r="G35" s="133"/>
      <c r="H35" s="133"/>
    </row>
    <row r="36" spans="1:13">
      <c r="A36" s="99" t="s">
        <v>231</v>
      </c>
      <c r="B36" s="1">
        <v>28</v>
      </c>
      <c r="C36" s="6"/>
      <c r="D36" s="6">
        <v>263384553</v>
      </c>
      <c r="E36" s="86"/>
      <c r="F36" s="142"/>
      <c r="G36" s="133"/>
      <c r="H36" s="133"/>
      <c r="I36" s="86"/>
    </row>
    <row r="37" spans="1:13">
      <c r="A37" s="99" t="s">
        <v>232</v>
      </c>
      <c r="B37" s="1">
        <v>29</v>
      </c>
      <c r="C37" s="6">
        <v>161897886</v>
      </c>
      <c r="D37" s="6">
        <v>1638658</v>
      </c>
      <c r="E37" s="86"/>
      <c r="F37" s="142"/>
      <c r="G37" s="133"/>
      <c r="H37" s="133"/>
    </row>
    <row r="38" spans="1:13">
      <c r="A38" s="88" t="s">
        <v>233</v>
      </c>
      <c r="B38" s="1">
        <v>30</v>
      </c>
      <c r="C38" s="38">
        <f>SUM(C35:C37)</f>
        <v>162181886</v>
      </c>
      <c r="D38" s="38">
        <f>SUM(D36:D37)</f>
        <v>265023211</v>
      </c>
      <c r="E38" s="86"/>
      <c r="F38" s="142"/>
      <c r="G38" s="138"/>
      <c r="H38" s="138"/>
      <c r="I38" s="86"/>
    </row>
    <row r="39" spans="1:13">
      <c r="A39" s="99" t="s">
        <v>234</v>
      </c>
      <c r="B39" s="1">
        <v>31</v>
      </c>
      <c r="C39" s="6">
        <v>55286489</v>
      </c>
      <c r="D39" s="6"/>
      <c r="E39" s="86"/>
      <c r="F39" s="143"/>
      <c r="G39" s="139"/>
      <c r="H39" s="139"/>
    </row>
    <row r="40" spans="1:13">
      <c r="A40" s="99" t="s">
        <v>235</v>
      </c>
      <c r="B40" s="1">
        <v>32</v>
      </c>
      <c r="C40" s="6"/>
      <c r="D40" s="6"/>
      <c r="E40" s="86"/>
      <c r="F40" s="134"/>
      <c r="G40" s="137"/>
      <c r="H40" s="137"/>
      <c r="J40" s="86"/>
    </row>
    <row r="41" spans="1:13">
      <c r="A41" s="99" t="s">
        <v>236</v>
      </c>
      <c r="B41" s="1">
        <v>33</v>
      </c>
      <c r="C41" s="6"/>
      <c r="D41" s="6"/>
      <c r="E41" s="86"/>
      <c r="F41" s="134"/>
      <c r="G41" s="137"/>
      <c r="H41" s="137"/>
      <c r="J41" s="86"/>
    </row>
    <row r="42" spans="1:13">
      <c r="A42" s="99" t="s">
        <v>237</v>
      </c>
      <c r="B42" s="1">
        <v>34</v>
      </c>
      <c r="C42" s="6">
        <v>1627934</v>
      </c>
      <c r="D42" s="6">
        <v>4462755</v>
      </c>
      <c r="E42" s="86"/>
      <c r="F42" s="134"/>
      <c r="G42" s="137"/>
      <c r="H42" s="137"/>
      <c r="J42" s="86"/>
    </row>
    <row r="43" spans="1:13">
      <c r="A43" s="99" t="s">
        <v>238</v>
      </c>
      <c r="B43" s="1">
        <v>35</v>
      </c>
      <c r="C43" s="6">
        <v>907970</v>
      </c>
      <c r="D43" s="6">
        <v>9251135</v>
      </c>
      <c r="E43" s="86"/>
      <c r="F43" s="134"/>
      <c r="G43" s="137"/>
      <c r="H43" s="137"/>
    </row>
    <row r="44" spans="1:13">
      <c r="A44" s="88" t="s">
        <v>239</v>
      </c>
      <c r="B44" s="1">
        <v>36</v>
      </c>
      <c r="C44" s="38">
        <f>SUM(C39:C43)+1</f>
        <v>57822394</v>
      </c>
      <c r="D44" s="38">
        <f>SUM(D39:D43)</f>
        <v>13713890</v>
      </c>
      <c r="E44" s="86"/>
      <c r="F44" s="134"/>
      <c r="G44" s="137"/>
      <c r="H44" s="137"/>
      <c r="I44" s="86"/>
    </row>
    <row r="45" spans="1:13">
      <c r="A45" s="88" t="s">
        <v>240</v>
      </c>
      <c r="B45" s="1">
        <v>37</v>
      </c>
      <c r="C45" s="38">
        <f>IF(C38&gt;C44,C38-C44,0)</f>
        <v>104359492</v>
      </c>
      <c r="D45" s="38">
        <f>IF(D38&gt;D44,D38-D44,0)</f>
        <v>251309321</v>
      </c>
      <c r="E45" s="86"/>
      <c r="F45" s="134"/>
      <c r="G45" s="137"/>
      <c r="H45" s="137"/>
    </row>
    <row r="46" spans="1:13">
      <c r="A46" s="88" t="s">
        <v>241</v>
      </c>
      <c r="B46" s="1">
        <v>38</v>
      </c>
      <c r="C46" s="38">
        <f>IF(C44&gt;C38,C44-C38,0)</f>
        <v>0</v>
      </c>
      <c r="D46" s="38">
        <f>IF(D44&gt;D38,D44-D38,0)</f>
        <v>0</v>
      </c>
      <c r="E46" s="86"/>
      <c r="F46" s="134"/>
      <c r="G46" s="137"/>
      <c r="H46" s="137"/>
      <c r="I46" s="86"/>
    </row>
    <row r="47" spans="1:13">
      <c r="A47" s="99" t="s">
        <v>242</v>
      </c>
      <c r="B47" s="1">
        <v>39</v>
      </c>
      <c r="C47" s="38">
        <f>+C19+C32+C45</f>
        <v>104359492</v>
      </c>
      <c r="D47" s="38">
        <f>IF(D19-D20+D32-D33+D45-D46&gt;0,D19-D20+D32-D33+D45-D46,0)</f>
        <v>0</v>
      </c>
      <c r="E47" s="86"/>
      <c r="F47" s="134"/>
      <c r="G47" s="137"/>
      <c r="H47" s="137"/>
      <c r="I47" s="86"/>
    </row>
    <row r="48" spans="1:13">
      <c r="A48" s="99" t="s">
        <v>243</v>
      </c>
      <c r="B48" s="1">
        <v>40</v>
      </c>
      <c r="C48" s="38">
        <f>+C20+C33+C46</f>
        <v>308872104</v>
      </c>
      <c r="D48" s="38">
        <f>IF(D20-D19+D33-D32+D46-D45&gt;0,D20-D19+D33-D32+D46-D45,0)</f>
        <v>24239108</v>
      </c>
      <c r="E48" s="86"/>
      <c r="F48" s="134"/>
      <c r="G48" s="137"/>
      <c r="H48" s="137"/>
      <c r="I48" s="86"/>
    </row>
    <row r="49" spans="1:8">
      <c r="A49" s="99" t="s">
        <v>244</v>
      </c>
      <c r="B49" s="1">
        <v>41</v>
      </c>
      <c r="C49" s="6">
        <v>222755699</v>
      </c>
      <c r="D49" s="6">
        <v>166188610</v>
      </c>
      <c r="E49" s="86"/>
      <c r="F49" s="134"/>
      <c r="G49" s="137"/>
      <c r="H49" s="137"/>
    </row>
    <row r="50" spans="1:8">
      <c r="A50" s="99" t="s">
        <v>245</v>
      </c>
      <c r="B50" s="1">
        <v>42</v>
      </c>
      <c r="C50" s="6"/>
      <c r="D50" s="6"/>
      <c r="E50" s="86"/>
      <c r="F50" s="134"/>
      <c r="G50" s="137"/>
      <c r="H50" s="137"/>
    </row>
    <row r="51" spans="1:8">
      <c r="A51" s="99" t="s">
        <v>246</v>
      </c>
      <c r="B51" s="1">
        <v>43</v>
      </c>
      <c r="C51" s="6">
        <f>+C48-C47</f>
        <v>204512612</v>
      </c>
      <c r="D51" s="6">
        <f>+D48-D47</f>
        <v>24239108</v>
      </c>
      <c r="E51" s="86"/>
      <c r="F51" s="134"/>
      <c r="G51" s="137"/>
      <c r="H51" s="137"/>
    </row>
    <row r="52" spans="1:8">
      <c r="A52" s="89" t="s">
        <v>247</v>
      </c>
      <c r="B52" s="4">
        <v>44</v>
      </c>
      <c r="C52" s="44">
        <f>C49+C50-C51</f>
        <v>18243087</v>
      </c>
      <c r="D52" s="44">
        <f>D49+D50-D51</f>
        <v>141949502</v>
      </c>
      <c r="E52" s="86"/>
      <c r="F52" s="136"/>
      <c r="G52" s="137"/>
      <c r="H52" s="137"/>
    </row>
    <row r="53" spans="1:8">
      <c r="C53" s="86"/>
      <c r="D53" s="86"/>
      <c r="F53" s="140"/>
      <c r="G53" s="135"/>
      <c r="H53" s="135"/>
    </row>
    <row r="54" spans="1:8">
      <c r="C54" s="87"/>
      <c r="D54" s="87"/>
    </row>
    <row r="55" spans="1:8">
      <c r="D55" s="86">
        <f>'Balance sheet'!D64-'Cash flow'!D52</f>
        <v>0</v>
      </c>
    </row>
    <row r="57" spans="1:8">
      <c r="C57" s="86"/>
      <c r="D57" s="86"/>
    </row>
    <row r="58" spans="1:8">
      <c r="D58" s="86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2">
    <dataValidation allowBlank="1" sqref="C7:D20 C35:C52 C22:D33 D51:D52 D36 D37:D49"/>
    <dataValidation type="whole" operator="notEqual" allowBlank="1" showInputMessage="1" showErrorMessage="1" errorTitle="Pogrešan unos" error="Mogu se unijeti samo cjelobrojne vrijednosti." sqref="D50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R13" sqref="R13"/>
    </sheetView>
  </sheetViews>
  <sheetFormatPr defaultColWidth="9.140625" defaultRowHeight="12.75"/>
  <cols>
    <col min="1" max="4" width="9.140625" style="52"/>
    <col min="5" max="5" width="10.140625" style="52" bestFit="1" customWidth="1"/>
    <col min="6" max="9" width="9.140625" style="52"/>
    <col min="10" max="10" width="10.85546875" style="52" bestFit="1" customWidth="1"/>
    <col min="11" max="11" width="11.7109375" style="52" bestFit="1" customWidth="1"/>
    <col min="12" max="12" width="11.42578125" style="52" bestFit="1" customWidth="1"/>
    <col min="13" max="16384" width="9.140625" style="52"/>
  </cols>
  <sheetData>
    <row r="1" spans="1:12">
      <c r="A1" s="268" t="s">
        <v>269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51"/>
    </row>
    <row r="2" spans="1:12" ht="15.75">
      <c r="A2" s="31"/>
      <c r="B2" s="50"/>
      <c r="C2" s="283" t="s">
        <v>248</v>
      </c>
      <c r="D2" s="283"/>
      <c r="E2" s="53">
        <v>42005</v>
      </c>
      <c r="F2" s="32" t="s">
        <v>32</v>
      </c>
      <c r="G2" s="284">
        <v>42185</v>
      </c>
      <c r="H2" s="285"/>
      <c r="I2" s="50"/>
      <c r="J2" s="50"/>
      <c r="K2" s="50"/>
      <c r="L2" s="54"/>
    </row>
    <row r="3" spans="1:12" ht="22.5">
      <c r="A3" s="286" t="s">
        <v>33</v>
      </c>
      <c r="B3" s="286"/>
      <c r="C3" s="286"/>
      <c r="D3" s="286"/>
      <c r="E3" s="286"/>
      <c r="F3" s="286"/>
      <c r="G3" s="286"/>
      <c r="H3" s="286"/>
      <c r="I3" s="55" t="s">
        <v>34</v>
      </c>
      <c r="J3" s="56" t="s">
        <v>249</v>
      </c>
      <c r="K3" s="56" t="s">
        <v>250</v>
      </c>
    </row>
    <row r="4" spans="1:12">
      <c r="A4" s="287">
        <v>1</v>
      </c>
      <c r="B4" s="287"/>
      <c r="C4" s="287"/>
      <c r="D4" s="287"/>
      <c r="E4" s="287"/>
      <c r="F4" s="287"/>
      <c r="G4" s="287"/>
      <c r="H4" s="287"/>
      <c r="I4" s="58">
        <v>2</v>
      </c>
      <c r="J4" s="57" t="s">
        <v>4</v>
      </c>
      <c r="K4" s="57" t="s">
        <v>5</v>
      </c>
    </row>
    <row r="5" spans="1:12">
      <c r="A5" s="270" t="s">
        <v>251</v>
      </c>
      <c r="B5" s="271"/>
      <c r="C5" s="271"/>
      <c r="D5" s="271"/>
      <c r="E5" s="271"/>
      <c r="F5" s="271"/>
      <c r="G5" s="271"/>
      <c r="H5" s="271"/>
      <c r="I5" s="33">
        <v>1</v>
      </c>
      <c r="J5" s="5">
        <f>1672021209+1</f>
        <v>1672021210</v>
      </c>
      <c r="K5" s="5">
        <f>1672021209+1</f>
        <v>1672021210</v>
      </c>
      <c r="L5" s="85"/>
    </row>
    <row r="6" spans="1:12">
      <c r="A6" s="270" t="s">
        <v>252</v>
      </c>
      <c r="B6" s="271"/>
      <c r="C6" s="271"/>
      <c r="D6" s="271"/>
      <c r="E6" s="271"/>
      <c r="F6" s="271"/>
      <c r="G6" s="271"/>
      <c r="H6" s="271"/>
      <c r="I6" s="33">
        <v>2</v>
      </c>
      <c r="J6" s="6">
        <v>-8395862</v>
      </c>
      <c r="K6" s="6">
        <v>39505</v>
      </c>
      <c r="L6" s="85"/>
    </row>
    <row r="7" spans="1:12">
      <c r="A7" s="270" t="s">
        <v>253</v>
      </c>
      <c r="B7" s="271"/>
      <c r="C7" s="271"/>
      <c r="D7" s="271"/>
      <c r="E7" s="271"/>
      <c r="F7" s="271"/>
      <c r="G7" s="271"/>
      <c r="H7" s="271"/>
      <c r="I7" s="33">
        <v>3</v>
      </c>
      <c r="J7" s="6">
        <v>98724306</v>
      </c>
      <c r="K7" s="6">
        <v>72912085</v>
      </c>
      <c r="L7" s="85"/>
    </row>
    <row r="8" spans="1:12">
      <c r="A8" s="270" t="s">
        <v>254</v>
      </c>
      <c r="B8" s="271"/>
      <c r="C8" s="271"/>
      <c r="D8" s="271"/>
      <c r="E8" s="271"/>
      <c r="F8" s="271"/>
      <c r="G8" s="271"/>
      <c r="H8" s="271"/>
      <c r="I8" s="33">
        <v>4</v>
      </c>
      <c r="J8" s="6">
        <v>263592748</v>
      </c>
      <c r="K8" s="6">
        <f>231212029-9251135</f>
        <v>221960894</v>
      </c>
      <c r="L8" s="85"/>
    </row>
    <row r="9" spans="1:12">
      <c r="A9" s="270" t="s">
        <v>255</v>
      </c>
      <c r="B9" s="271"/>
      <c r="C9" s="271"/>
      <c r="D9" s="271"/>
      <c r="E9" s="271"/>
      <c r="F9" s="271"/>
      <c r="G9" s="271"/>
      <c r="H9" s="271"/>
      <c r="I9" s="33">
        <v>5</v>
      </c>
      <c r="J9" s="6">
        <v>23627648</v>
      </c>
      <c r="K9" s="6">
        <v>-86175404</v>
      </c>
      <c r="L9" s="85"/>
    </row>
    <row r="10" spans="1:12">
      <c r="A10" s="270" t="s">
        <v>256</v>
      </c>
      <c r="B10" s="271"/>
      <c r="C10" s="271"/>
      <c r="D10" s="271"/>
      <c r="E10" s="271"/>
      <c r="F10" s="271"/>
      <c r="G10" s="271"/>
      <c r="H10" s="271"/>
      <c r="I10" s="33">
        <v>6</v>
      </c>
      <c r="J10" s="6"/>
      <c r="K10" s="6"/>
      <c r="L10" s="85"/>
    </row>
    <row r="11" spans="1:12">
      <c r="A11" s="270" t="s">
        <v>257</v>
      </c>
      <c r="B11" s="271"/>
      <c r="C11" s="271"/>
      <c r="D11" s="271"/>
      <c r="E11" s="271"/>
      <c r="F11" s="271"/>
      <c r="G11" s="271"/>
      <c r="H11" s="271"/>
      <c r="I11" s="33">
        <v>7</v>
      </c>
      <c r="J11" s="6"/>
      <c r="K11" s="6"/>
      <c r="L11" s="85"/>
    </row>
    <row r="12" spans="1:12">
      <c r="A12" s="270" t="s">
        <v>258</v>
      </c>
      <c r="B12" s="271"/>
      <c r="C12" s="271"/>
      <c r="D12" s="271"/>
      <c r="E12" s="271"/>
      <c r="F12" s="271"/>
      <c r="G12" s="271"/>
      <c r="H12" s="271"/>
      <c r="I12" s="33">
        <v>8</v>
      </c>
      <c r="J12" s="6">
        <v>29750702</v>
      </c>
      <c r="K12" s="6">
        <v>31389359</v>
      </c>
      <c r="L12" s="85"/>
    </row>
    <row r="13" spans="1:12">
      <c r="A13" s="282" t="s">
        <v>273</v>
      </c>
      <c r="B13" s="271"/>
      <c r="C13" s="271"/>
      <c r="D13" s="271"/>
      <c r="E13" s="271"/>
      <c r="F13" s="271"/>
      <c r="G13" s="271"/>
      <c r="H13" s="271"/>
      <c r="I13" s="33">
        <v>9</v>
      </c>
      <c r="J13" s="6"/>
      <c r="K13" s="6"/>
      <c r="L13" s="85"/>
    </row>
    <row r="14" spans="1:12">
      <c r="A14" s="272" t="s">
        <v>259</v>
      </c>
      <c r="B14" s="273"/>
      <c r="C14" s="273"/>
      <c r="D14" s="273"/>
      <c r="E14" s="273"/>
      <c r="F14" s="273"/>
      <c r="G14" s="273"/>
      <c r="H14" s="273"/>
      <c r="I14" s="33">
        <v>10</v>
      </c>
      <c r="J14" s="6">
        <f>SUM(J5:J13)</f>
        <v>2079320752</v>
      </c>
      <c r="K14" s="38">
        <f>SUM(K5:K13)</f>
        <v>1912147649</v>
      </c>
      <c r="L14" s="85"/>
    </row>
    <row r="15" spans="1:12">
      <c r="A15" s="270" t="s">
        <v>268</v>
      </c>
      <c r="B15" s="271"/>
      <c r="C15" s="271"/>
      <c r="D15" s="271"/>
      <c r="E15" s="271"/>
      <c r="F15" s="271"/>
      <c r="G15" s="271"/>
      <c r="H15" s="271"/>
      <c r="I15" s="33">
        <v>11</v>
      </c>
      <c r="J15" s="6"/>
      <c r="K15" s="6"/>
      <c r="L15" s="85"/>
    </row>
    <row r="16" spans="1:12">
      <c r="A16" s="270" t="s">
        <v>267</v>
      </c>
      <c r="B16" s="271"/>
      <c r="C16" s="271"/>
      <c r="D16" s="271"/>
      <c r="E16" s="271"/>
      <c r="F16" s="271"/>
      <c r="G16" s="271"/>
      <c r="H16" s="271"/>
      <c r="I16" s="33">
        <v>12</v>
      </c>
      <c r="J16" s="6"/>
      <c r="K16" s="6"/>
      <c r="L16" s="85"/>
    </row>
    <row r="17" spans="1:12">
      <c r="A17" s="270" t="s">
        <v>266</v>
      </c>
      <c r="B17" s="271"/>
      <c r="C17" s="271"/>
      <c r="D17" s="271"/>
      <c r="E17" s="271"/>
      <c r="F17" s="271"/>
      <c r="G17" s="271"/>
      <c r="H17" s="271"/>
      <c r="I17" s="33">
        <v>13</v>
      </c>
      <c r="J17" s="6"/>
      <c r="K17" s="6"/>
      <c r="L17" s="85"/>
    </row>
    <row r="18" spans="1:12">
      <c r="A18" s="270" t="s">
        <v>265</v>
      </c>
      <c r="B18" s="271"/>
      <c r="C18" s="271"/>
      <c r="D18" s="271"/>
      <c r="E18" s="271"/>
      <c r="F18" s="271"/>
      <c r="G18" s="271"/>
      <c r="H18" s="271"/>
      <c r="I18" s="33">
        <v>14</v>
      </c>
      <c r="J18" s="6"/>
      <c r="K18" s="6"/>
      <c r="L18" s="85"/>
    </row>
    <row r="19" spans="1:12">
      <c r="A19" s="270" t="s">
        <v>264</v>
      </c>
      <c r="B19" s="271"/>
      <c r="C19" s="271"/>
      <c r="D19" s="271"/>
      <c r="E19" s="271"/>
      <c r="F19" s="271"/>
      <c r="G19" s="271"/>
      <c r="H19" s="271"/>
      <c r="I19" s="33">
        <v>15</v>
      </c>
      <c r="J19" s="6"/>
      <c r="K19" s="6"/>
      <c r="L19" s="85"/>
    </row>
    <row r="20" spans="1:12">
      <c r="A20" s="270" t="s">
        <v>263</v>
      </c>
      <c r="B20" s="271"/>
      <c r="C20" s="271"/>
      <c r="D20" s="271"/>
      <c r="E20" s="271"/>
      <c r="F20" s="271"/>
      <c r="G20" s="271"/>
      <c r="H20" s="271"/>
      <c r="I20" s="33">
        <v>16</v>
      </c>
      <c r="J20" s="6"/>
      <c r="K20" s="6"/>
      <c r="L20" s="85"/>
    </row>
    <row r="21" spans="1:12">
      <c r="A21" s="272" t="s">
        <v>262</v>
      </c>
      <c r="B21" s="273"/>
      <c r="C21" s="273"/>
      <c r="D21" s="273"/>
      <c r="E21" s="273"/>
      <c r="F21" s="273"/>
      <c r="G21" s="273"/>
      <c r="H21" s="273"/>
      <c r="I21" s="33">
        <v>17</v>
      </c>
      <c r="J21" s="44">
        <f>SUM(J15:J20)</f>
        <v>0</v>
      </c>
      <c r="K21" s="44">
        <f>SUM(K15:K20)</f>
        <v>0</v>
      </c>
      <c r="L21" s="85"/>
    </row>
    <row r="22" spans="1:12">
      <c r="A22" s="274"/>
      <c r="B22" s="275"/>
      <c r="C22" s="275"/>
      <c r="D22" s="275"/>
      <c r="E22" s="275"/>
      <c r="F22" s="275"/>
      <c r="G22" s="275"/>
      <c r="H22" s="275"/>
      <c r="I22" s="276"/>
      <c r="J22" s="276"/>
      <c r="K22" s="277"/>
      <c r="L22" s="85"/>
    </row>
    <row r="23" spans="1:12">
      <c r="A23" s="278" t="s">
        <v>261</v>
      </c>
      <c r="B23" s="279"/>
      <c r="C23" s="279"/>
      <c r="D23" s="279"/>
      <c r="E23" s="279"/>
      <c r="F23" s="279"/>
      <c r="G23" s="279"/>
      <c r="H23" s="279"/>
      <c r="I23" s="34">
        <v>18</v>
      </c>
      <c r="J23" s="5"/>
      <c r="K23" s="5"/>
      <c r="L23" s="85"/>
    </row>
    <row r="24" spans="1:12">
      <c r="A24" s="280" t="s">
        <v>260</v>
      </c>
      <c r="B24" s="281"/>
      <c r="C24" s="281"/>
      <c r="D24" s="281"/>
      <c r="E24" s="281"/>
      <c r="F24" s="281"/>
      <c r="G24" s="281"/>
      <c r="H24" s="281"/>
      <c r="I24" s="35">
        <v>19</v>
      </c>
      <c r="J24" s="44"/>
      <c r="K24" s="44"/>
      <c r="L24" s="85"/>
    </row>
    <row r="25" spans="1:12" ht="30.2" customHeight="1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7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K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Filip Mocibob</cp:lastModifiedBy>
  <cp:lastPrinted>2015-07-17T07:23:27Z</cp:lastPrinted>
  <dcterms:created xsi:type="dcterms:W3CDTF">2008-10-17T11:51:54Z</dcterms:created>
  <dcterms:modified xsi:type="dcterms:W3CDTF">2015-07-31T04:31:06Z</dcterms:modified>
</cp:coreProperties>
</file>